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0" yWindow="80" windowWidth="19360" windowHeight="15520" tabRatio="763" activeTab="5"/>
  </bookViews>
  <sheets>
    <sheet name="Bal sht finance" sheetId="1" r:id="rId1"/>
    <sheet name="Inc stat finan" sheetId="2" r:id="rId2"/>
    <sheet name="cap ratio finan" sheetId="3" r:id="rId3"/>
    <sheet name="Temp Rte chnge" sheetId="4" r:id="rId4"/>
    <sheet name="Temp Sched A" sheetId="5" r:id="rId5"/>
    <sheet name="Sched A" sheetId="6" r:id="rId6"/>
    <sheet name="Sched 1" sheetId="7" r:id="rId7"/>
    <sheet name="Sched 1a1" sheetId="8" r:id="rId8"/>
    <sheet name="Sched 1a2" sheetId="9" r:id="rId9"/>
    <sheet name="Sched 1a3" sheetId="10" r:id="rId10"/>
    <sheet name="Sched 1a4" sheetId="11" r:id="rId11"/>
    <sheet name="Sched 1a5" sheetId="12" r:id="rId12"/>
    <sheet name="PROPERTY TAXES" sheetId="13" r:id="rId13"/>
    <sheet name="Sched 1-B" sheetId="14" r:id="rId14"/>
    <sheet name="Sched 1-C" sheetId="15" r:id="rId15"/>
    <sheet name="Sales adj" sheetId="16" r:id="rId16"/>
    <sheet name="INCOME TAXES" sheetId="17" r:id="rId17"/>
    <sheet name="Sched 2" sheetId="18" r:id="rId18"/>
    <sheet name="2A" sheetId="19" r:id="rId19"/>
    <sheet name="Sched 3" sheetId="20" r:id="rId20"/>
    <sheet name="Sched 3A" sheetId="21" r:id="rId21"/>
    <sheet name="Sched 3-B" sheetId="22" r:id="rId22"/>
    <sheet name="Sched 4" sheetId="23" r:id="rId23"/>
    <sheet name="Sched 5" sheetId="24" r:id="rId24"/>
    <sheet name="Rate of Retrn" sheetId="25" r:id="rId25"/>
    <sheet name="HISTORICAL CAPITAL STRUCTURE" sheetId="26" r:id="rId26"/>
    <sheet name="CAPITALIZATION RATIOS" sheetId="27" r:id="rId27"/>
    <sheet name="Sched 6.5" sheetId="28" r:id="rId28"/>
    <sheet name="Sched 6.6" sheetId="29" r:id="rId29"/>
    <sheet name="MONTHLY SALES" sheetId="30" r:id="rId30"/>
    <sheet name="CONTRIBUTION IN AID OF CONSTRUC" sheetId="31" r:id="rId31"/>
    <sheet name="Sewer charge" sheetId="32" r:id="rId32"/>
  </sheets>
  <definedNames/>
  <calcPr fullCalcOnLoad="1"/>
</workbook>
</file>

<file path=xl/comments7.xml><?xml version="1.0" encoding="utf-8"?>
<comments xmlns="http://schemas.openxmlformats.org/spreadsheetml/2006/main">
  <authors>
    <author>Peter Bloomfield</author>
  </authors>
  <commentList>
    <comment ref="E16" authorId="0">
      <text>
        <r>
          <rPr>
            <b/>
            <sz val="9"/>
            <rFont val="Arial"/>
            <family val="0"/>
          </rPr>
          <t>Peter Bloomfield:</t>
        </r>
        <r>
          <rPr>
            <sz val="9"/>
            <rFont val="Arial"/>
            <family val="0"/>
          </rPr>
          <t xml:space="preserve">
no GHG Credits, loader insurance</t>
        </r>
      </text>
    </comment>
    <comment ref="E43" authorId="0">
      <text>
        <r>
          <rPr>
            <b/>
            <sz val="9"/>
            <rFont val="Arial"/>
            <family val="0"/>
          </rPr>
          <t>Peter Bloomfield:</t>
        </r>
        <r>
          <rPr>
            <sz val="9"/>
            <rFont val="Arial"/>
            <family val="0"/>
          </rPr>
          <t xml:space="preserve">
Increase in interest on loans</t>
        </r>
      </text>
    </comment>
  </commentList>
</comments>
</file>

<file path=xl/sharedStrings.xml><?xml version="1.0" encoding="utf-8"?>
<sst xmlns="http://schemas.openxmlformats.org/spreadsheetml/2006/main" count="1003" uniqueCount="577">
  <si>
    <t>Increase</t>
  </si>
  <si>
    <t>Increase of</t>
  </si>
  <si>
    <t>Mlbs/yr</t>
  </si>
  <si>
    <t>Storage</t>
  </si>
  <si>
    <t>Accounts Receivable</t>
  </si>
  <si>
    <t>Test Year ending Dec. 31, 2008</t>
  </si>
  <si>
    <t>Schedule 3A</t>
  </si>
  <si>
    <t>Test Year Ending December 31, 2008</t>
  </si>
  <si>
    <t>Total taxes</t>
  </si>
  <si>
    <t>Total property taxes</t>
  </si>
  <si>
    <t>DG 09 -139</t>
  </si>
  <si>
    <t>Test year ending December 31, 2008</t>
  </si>
  <si>
    <t>Schedule 1-B</t>
  </si>
  <si>
    <t>Income Required</t>
  </si>
  <si>
    <t>Total Reserves</t>
  </si>
  <si>
    <t>Total Stockholders Equity and Liabilities</t>
  </si>
  <si>
    <t>Third</t>
  </si>
  <si>
    <t>PROPERTY TAXES</t>
  </si>
  <si>
    <t>Capitalization Ratios at December 31 for Each Year</t>
  </si>
  <si>
    <t>Total change in Mlbs</t>
  </si>
  <si>
    <t>Payroll</t>
  </si>
  <si>
    <t>Customer Service</t>
  </si>
  <si>
    <t>Sales</t>
  </si>
  <si>
    <t>Detail of property taxes paid to the city of Concord, State of NH and Town of Pembroke:</t>
  </si>
  <si>
    <t>New Base</t>
  </si>
  <si>
    <t>Decrease</t>
  </si>
  <si>
    <t>in Rates</t>
  </si>
  <si>
    <t>New Energy</t>
  </si>
  <si>
    <t>Cost of Energy based on steam $/Mlb</t>
  </si>
  <si>
    <t>Mlbs of steam projected to be sold</t>
  </si>
  <si>
    <t>Deferred Income Taxes</t>
  </si>
  <si>
    <t>Total</t>
  </si>
  <si>
    <t>Deferred income taxes</t>
  </si>
  <si>
    <t>Test Year as</t>
  </si>
  <si>
    <t>Note 1</t>
  </si>
  <si>
    <t>Note 2</t>
  </si>
  <si>
    <t xml:space="preserve"> ÷ .6039 = required taxable income</t>
  </si>
  <si>
    <t>12 Months</t>
  </si>
  <si>
    <t xml:space="preserve">Ended </t>
  </si>
  <si>
    <t>Operation</t>
  </si>
  <si>
    <t>Dec</t>
  </si>
  <si>
    <t>Average</t>
  </si>
  <si>
    <t>Organization</t>
  </si>
  <si>
    <t>Miscellaneous Intangible Property</t>
  </si>
  <si>
    <t>Residential</t>
  </si>
  <si>
    <t>Cash Working Capital</t>
  </si>
  <si>
    <t>Tax effect (60.39%)</t>
  </si>
  <si>
    <t>Utility</t>
  </si>
  <si>
    <t xml:space="preserve">Change in steam sales due to </t>
  </si>
  <si>
    <t>Discount to Rundlett under proposed contract.</t>
  </si>
  <si>
    <t>Attachment 5</t>
  </si>
  <si>
    <t>Sched 4A</t>
  </si>
  <si>
    <t>Calculation of Revenue from Energy Charge</t>
  </si>
  <si>
    <t>From</t>
  </si>
  <si>
    <t>Schedule 1A</t>
  </si>
  <si>
    <t>Interest expense  - Long term</t>
  </si>
  <si>
    <t>Interest expense - Short Term</t>
  </si>
  <si>
    <t>Admin and General(Sched 1a3)</t>
  </si>
  <si>
    <t>Cost of Energy based on steam  -  $/Mlb</t>
  </si>
  <si>
    <t>Increase base</t>
  </si>
  <si>
    <t>rates only</t>
  </si>
  <si>
    <t>Write off uncollectable accounts</t>
  </si>
  <si>
    <t>Contributions</t>
  </si>
  <si>
    <t>Property tax - Correction due to abatement in 2008</t>
  </si>
  <si>
    <t>Interest expense - Correction due to increase in interest rates</t>
  </si>
  <si>
    <t>Other</t>
  </si>
  <si>
    <t>5 year</t>
  </si>
  <si>
    <t>Base Rate</t>
  </si>
  <si>
    <t>Fuel Charge</t>
  </si>
  <si>
    <t>Meter Charge</t>
  </si>
  <si>
    <t>Other</t>
  </si>
  <si>
    <t>Total Revenues</t>
  </si>
  <si>
    <t>Average total interest rate for year</t>
  </si>
  <si>
    <t xml:space="preserve">New bank loans have interest rate of Prime plus 2 with a 5% floor.  </t>
  </si>
  <si>
    <t>Plant in service (Sched 3B)</t>
  </si>
  <si>
    <t>Less: acccumulated Depreciation</t>
  </si>
  <si>
    <t>Plant Held for future use</t>
  </si>
  <si>
    <t>Intangible Property</t>
  </si>
  <si>
    <t xml:space="preserve">     dollar amount increase is 1.5%.</t>
  </si>
  <si>
    <t>Total rate % increase</t>
  </si>
  <si>
    <t>Total General Equipment</t>
  </si>
  <si>
    <t>Total Plant in Service</t>
  </si>
  <si>
    <t>Discounts</t>
  </si>
  <si>
    <t>Charges</t>
  </si>
  <si>
    <t>Rate</t>
  </si>
  <si>
    <t>Includes proformed revenue adjustments reflected in Schedule 1 of the base rate filing</t>
  </si>
  <si>
    <t>Effect on customer classes</t>
  </si>
  <si>
    <t>Typical use</t>
  </si>
  <si>
    <t>Old</t>
  </si>
  <si>
    <t>New</t>
  </si>
  <si>
    <t>Test Year Ending December 31, 2008</t>
  </si>
  <si>
    <t>Water Sewer charge corrrection (11/12 payments shown for 08)</t>
  </si>
  <si>
    <t>Year End 12/31/2008</t>
  </si>
  <si>
    <t>State Utility</t>
  </si>
  <si>
    <t>City</t>
  </si>
  <si>
    <t>Pembroke</t>
  </si>
  <si>
    <t>Wood Yard</t>
  </si>
  <si>
    <t>Less:  Depreciation and Amortization</t>
  </si>
  <si>
    <t>Total Revenue from Fuel Charge and Other</t>
  </si>
  <si>
    <t>Concord Steam Corp</t>
  </si>
  <si>
    <t>Second</t>
  </si>
  <si>
    <t>Test Year</t>
  </si>
  <si>
    <t>13 Month</t>
  </si>
  <si>
    <t>Jan</t>
  </si>
  <si>
    <t>Steam Sold</t>
  </si>
  <si>
    <t>Prepayments (Annual Report at Table 18)</t>
  </si>
  <si>
    <t>Deferred Taxes (Annual Report at Table 32)</t>
  </si>
  <si>
    <t>Admin and General</t>
  </si>
  <si>
    <t>Total Operation</t>
  </si>
  <si>
    <t>Cost of obtaining financing</t>
  </si>
  <si>
    <t>Preceding</t>
  </si>
  <si>
    <t>Ended</t>
  </si>
  <si>
    <t>Proforma</t>
  </si>
  <si>
    <t>Proformed</t>
  </si>
  <si>
    <t>Cost of Preferred Stock</t>
  </si>
  <si>
    <t>Exhibit 7</t>
  </si>
  <si>
    <t>Change during year</t>
  </si>
  <si>
    <t>Balance end of year</t>
  </si>
  <si>
    <t>DG 07-076</t>
  </si>
  <si>
    <t>Repayments</t>
  </si>
  <si>
    <t>Less</t>
  </si>
  <si>
    <t>Investment tax credit</t>
  </si>
  <si>
    <t>Customer advances</t>
  </si>
  <si>
    <t>Increase in Mlbs (Sched 1-C)</t>
  </si>
  <si>
    <t>Structures</t>
  </si>
  <si>
    <t>Proforma Adjustments - Revenue</t>
  </si>
  <si>
    <t>Total rate % increase</t>
  </si>
  <si>
    <t>Test Year ending Dec. 31, 2008</t>
  </si>
  <si>
    <t xml:space="preserve">     For Test Year Ending December 31, 2008</t>
  </si>
  <si>
    <t>FEDERAL AND STATE INCOME TAXES</t>
  </si>
  <si>
    <t>Schedule 1D</t>
  </si>
  <si>
    <t>Misc reduction</t>
  </si>
  <si>
    <t>in sales</t>
  </si>
  <si>
    <t>Apr</t>
  </si>
  <si>
    <t>Aug</t>
  </si>
  <si>
    <t>Accumulated Depreciation</t>
  </si>
  <si>
    <t>Exhibit 1</t>
  </si>
  <si>
    <t>Overall Rate of Return</t>
  </si>
  <si>
    <t>Difference in degree days - 2008 vs average</t>
  </si>
  <si>
    <t>Degree Day Correction</t>
  </si>
  <si>
    <t>2008 Actual</t>
  </si>
  <si>
    <t>2008 as Proformed</t>
  </si>
  <si>
    <t>???</t>
  </si>
  <si>
    <t>Balance Sheets</t>
  </si>
  <si>
    <t>Taxes Accrued</t>
  </si>
  <si>
    <t>.</t>
  </si>
  <si>
    <t>Sept</t>
  </si>
  <si>
    <t>Computation of Revenue Deficiency for Temporary Rates</t>
  </si>
  <si>
    <t>Decrease in base rate sales due to degree day corrections only</t>
  </si>
  <si>
    <t>Parts and supplies inventory</t>
  </si>
  <si>
    <t>Schedule 3-A</t>
  </si>
  <si>
    <t>Authority</t>
  </si>
  <si>
    <t>Sewer Charge for Condensate Discharged to Sewer from Customers Premises</t>
  </si>
  <si>
    <t>Deferred Revenue</t>
  </si>
  <si>
    <t>Total Distribution Equipment</t>
  </si>
  <si>
    <t>Report of Proposed Temporary Rate Changes</t>
  </si>
  <si>
    <t>Proposed Temp</t>
  </si>
  <si>
    <t>Federal and state income tax</t>
  </si>
  <si>
    <t>50,000 Mlbs</t>
  </si>
  <si>
    <t>Mlb</t>
  </si>
  <si>
    <t>Amount</t>
  </si>
  <si>
    <t>Authorized</t>
  </si>
  <si>
    <t>Outstanding</t>
  </si>
  <si>
    <t>Annual</t>
  </si>
  <si>
    <t>Fuel Costs</t>
  </si>
  <si>
    <t>Adjusted total sales before DD correction</t>
  </si>
  <si>
    <t>Total Current and Accrued Liabilities</t>
  </si>
  <si>
    <t>Deferred Credits</t>
  </si>
  <si>
    <t>Temp Rates</t>
  </si>
  <si>
    <t>3 year</t>
  </si>
  <si>
    <t>Rate Base (Schedule 3)</t>
  </si>
  <si>
    <t>Oct</t>
  </si>
  <si>
    <t>Nov</t>
  </si>
  <si>
    <t>Weighted Ave</t>
  </si>
  <si>
    <t>Exhibit 5</t>
  </si>
  <si>
    <t>Exhibit 6</t>
  </si>
  <si>
    <t>12/31/208</t>
  </si>
  <si>
    <t>PROFORMA</t>
  </si>
  <si>
    <t>ASSETS</t>
  </si>
  <si>
    <t>ADJUSTMENTS</t>
  </si>
  <si>
    <t xml:space="preserve"> </t>
  </si>
  <si>
    <t xml:space="preserve">For increase </t>
  </si>
  <si>
    <t>Historical</t>
  </si>
  <si>
    <t>in Debt</t>
  </si>
  <si>
    <t>Pro Forma</t>
  </si>
  <si>
    <t>Balance Sheet</t>
  </si>
  <si>
    <t>FIXED ASSETS, at cost</t>
  </si>
  <si>
    <t>Operational Expenses for Proformed Test Year</t>
  </si>
  <si>
    <t>Office Equipment</t>
  </si>
  <si>
    <t>2000&gt;</t>
  </si>
  <si>
    <t>Existing</t>
  </si>
  <si>
    <t>Proposed</t>
  </si>
  <si>
    <t>Additional revenue from rate increase</t>
  </si>
  <si>
    <t>New base rate revenue</t>
  </si>
  <si>
    <t>Distribution System Land</t>
  </si>
  <si>
    <t>Laboratory Equipment</t>
  </si>
  <si>
    <t>CONTRIBUTION IN AID OF CONSTRUCTION</t>
  </si>
  <si>
    <t>Component</t>
  </si>
  <si>
    <t>Ratio</t>
  </si>
  <si>
    <t>Total Intangible Property</t>
  </si>
  <si>
    <t>Deferred Tax Assets</t>
  </si>
  <si>
    <t>Balance Sheets</t>
  </si>
  <si>
    <t>Assets and Deferred Charges</t>
  </si>
  <si>
    <t>Fixed Capital - Steam Plant</t>
  </si>
  <si>
    <t>Production Plant Structures</t>
  </si>
  <si>
    <t>Total Structures</t>
  </si>
  <si>
    <t>Notes Payable</t>
  </si>
  <si>
    <t>Accounts Payable</t>
  </si>
  <si>
    <t>Payables to Affiliated Companies</t>
  </si>
  <si>
    <t>Capital Surplus</t>
  </si>
  <si>
    <t>Year end 12/31/08</t>
  </si>
  <si>
    <t>TD Bank</t>
  </si>
  <si>
    <t>TOTAL</t>
  </si>
  <si>
    <t xml:space="preserve">DG 09 - </t>
  </si>
  <si>
    <t>Stockholders Equity and Liabilities</t>
  </si>
  <si>
    <t>Mar</t>
  </si>
  <si>
    <t>Total Revenue from Electricity Sales</t>
  </si>
  <si>
    <t>Electricity Sales</t>
  </si>
  <si>
    <t>2008 Sales</t>
  </si>
  <si>
    <t>Total Land</t>
  </si>
  <si>
    <t>3 year</t>
  </si>
  <si>
    <t>Rundlett</t>
  </si>
  <si>
    <t>School</t>
  </si>
  <si>
    <t>Rate Case Expenses</t>
  </si>
  <si>
    <t>Schedule 5</t>
  </si>
  <si>
    <t>Cash Overdrafts</t>
  </si>
  <si>
    <t>$</t>
  </si>
  <si>
    <t>Estimated</t>
  </si>
  <si>
    <t>General Equipment</t>
  </si>
  <si>
    <t>Land</t>
  </si>
  <si>
    <t>No Change is Proposed to the energy portion of the Tariff</t>
  </si>
  <si>
    <t>Exhibit 3</t>
  </si>
  <si>
    <t>Deg Days</t>
  </si>
  <si>
    <t>Total Net change in Base Rate Revenue</t>
  </si>
  <si>
    <t>Fuel Charge -</t>
  </si>
  <si>
    <t>Administrative and General Expenses</t>
  </si>
  <si>
    <t>Exhibit 4</t>
  </si>
  <si>
    <t>Air Permit fees</t>
  </si>
  <si>
    <t>Energy revenue</t>
  </si>
  <si>
    <t>2)</t>
  </si>
  <si>
    <t>September</t>
  </si>
  <si>
    <t>Interest cost</t>
  </si>
  <si>
    <t>Cost of Long Term Debt</t>
  </si>
  <si>
    <t>G *</t>
  </si>
  <si>
    <t>*</t>
  </si>
  <si>
    <t>Increased</t>
  </si>
  <si>
    <t>Fuel</t>
  </si>
  <si>
    <t>Charge</t>
  </si>
  <si>
    <t>Schedule 6</t>
  </si>
  <si>
    <t>Net Utility Plant</t>
  </si>
  <si>
    <t>Plus</t>
  </si>
  <si>
    <t>With the Utility proformed adjustments included, the required rate of return for the requested</t>
  </si>
  <si>
    <t>Short Term Debt</t>
  </si>
  <si>
    <t>Deferred Taxes</t>
  </si>
  <si>
    <t>Cost of Short Term Debt</t>
  </si>
  <si>
    <t>May</t>
  </si>
  <si>
    <t>June</t>
  </si>
  <si>
    <t>July</t>
  </si>
  <si>
    <t>August</t>
  </si>
  <si>
    <t>Schedule 2</t>
  </si>
  <si>
    <t>Page 1 of 2</t>
  </si>
  <si>
    <t>Service</t>
  </si>
  <si>
    <t xml:space="preserve">Effect of </t>
  </si>
  <si>
    <t>Changes</t>
  </si>
  <si>
    <t># of</t>
  </si>
  <si>
    <t>January</t>
  </si>
  <si>
    <t>Tax Period:</t>
  </si>
  <si>
    <t>Present</t>
  </si>
  <si>
    <t>Rates</t>
  </si>
  <si>
    <t>Rate Change</t>
  </si>
  <si>
    <t>Change</t>
  </si>
  <si>
    <t>Percentage</t>
  </si>
  <si>
    <t>Includes proformed revenue adjustments reflected in Schedule 1</t>
  </si>
  <si>
    <t>Rates **</t>
  </si>
  <si>
    <t>**</t>
  </si>
  <si>
    <t>Long-Term Debt</t>
  </si>
  <si>
    <t>Bonds and Notes</t>
  </si>
  <si>
    <t>returned</t>
  </si>
  <si>
    <t>Condensate</t>
  </si>
  <si>
    <t>October</t>
  </si>
  <si>
    <t>February</t>
  </si>
  <si>
    <t>Operating Expenses</t>
  </si>
  <si>
    <t>Production</t>
  </si>
  <si>
    <t>Maintenance</t>
  </si>
  <si>
    <t>Net Operating Income applied</t>
  </si>
  <si>
    <t>to rate base</t>
  </si>
  <si>
    <t>Rate of return</t>
  </si>
  <si>
    <t>Sales and New Business</t>
  </si>
  <si>
    <t>Taxes</t>
  </si>
  <si>
    <t xml:space="preserve">Total </t>
  </si>
  <si>
    <t>13 month</t>
  </si>
  <si>
    <t>Test year ending December 31, 2008</t>
  </si>
  <si>
    <t>Average base rate used</t>
  </si>
  <si>
    <t>Steam sales Mlbs</t>
  </si>
  <si>
    <t>Cost of increased steam production</t>
  </si>
  <si>
    <t>Rate of Return</t>
  </si>
  <si>
    <t>Distribution Equipment</t>
  </si>
  <si>
    <t>Production Equipment</t>
  </si>
  <si>
    <t>Rate Base Components</t>
  </si>
  <si>
    <t>Test Year Ending December 31, 2008</t>
  </si>
  <si>
    <t>Combined</t>
  </si>
  <si>
    <t>See Schedule 1.4  ($/Mlb)</t>
  </si>
  <si>
    <t>Customer deposits (Sched 3-B)</t>
  </si>
  <si>
    <t>Proposed revenues</t>
  </si>
  <si>
    <t>Income tax refund</t>
  </si>
  <si>
    <t>Maintenance of General Property</t>
  </si>
  <si>
    <t>Transportation Expense</t>
  </si>
  <si>
    <t>&amp; industrial</t>
  </si>
  <si>
    <t>Feb</t>
  </si>
  <si>
    <t>Preferred Stock</t>
  </si>
  <si>
    <t>Unfinished Construction</t>
  </si>
  <si>
    <t>Less Depreciation Reserve</t>
  </si>
  <si>
    <t>Balance at beginning of year</t>
  </si>
  <si>
    <t>Cash</t>
  </si>
  <si>
    <t>Cash working capital</t>
  </si>
  <si>
    <t>Materials and supplies</t>
  </si>
  <si>
    <t>Amortization</t>
  </si>
  <si>
    <t>Loader rental</t>
  </si>
  <si>
    <t>Chemicals</t>
  </si>
  <si>
    <t>Wood</t>
  </si>
  <si>
    <t>Schedule 1-C</t>
  </si>
  <si>
    <t>Revenues</t>
  </si>
  <si>
    <t>Mlbs Steam</t>
  </si>
  <si>
    <t>Monthly Average</t>
  </si>
  <si>
    <t>1.5 Times Average</t>
  </si>
  <si>
    <t>Schedule 4</t>
  </si>
  <si>
    <t>Contribution in Aid of Construction</t>
  </si>
  <si>
    <t>Steam sales adjustments</t>
  </si>
  <si>
    <t xml:space="preserve">Public </t>
  </si>
  <si>
    <t>Stock</t>
  </si>
  <si>
    <t>Surplus</t>
  </si>
  <si>
    <t>Retained Earnings</t>
  </si>
  <si>
    <t>(Capital Stock Expense)</t>
  </si>
  <si>
    <t>Mortgage Debt</t>
  </si>
  <si>
    <t>Long Term Notes</t>
  </si>
  <si>
    <t>Water and Sewer</t>
  </si>
  <si>
    <t>Boiler chemicals</t>
  </si>
  <si>
    <t>Line of Credit</t>
  </si>
  <si>
    <t>Interest</t>
  </si>
  <si>
    <t>Term</t>
  </si>
  <si>
    <t>Admin and General(Schedule 1a3)</t>
  </si>
  <si>
    <t>Schedule A</t>
  </si>
  <si>
    <t>Computation of Revenue Deficiency</t>
  </si>
  <si>
    <t xml:space="preserve"> Actual</t>
  </si>
  <si>
    <t xml:space="preserve"> Proformed</t>
  </si>
  <si>
    <t xml:space="preserve"> Test Period</t>
  </si>
  <si>
    <t>First 500 Mlbs</t>
  </si>
  <si>
    <t>500&gt;2000</t>
  </si>
  <si>
    <t xml:space="preserve">Component </t>
  </si>
  <si>
    <t>Cost Rate</t>
  </si>
  <si>
    <t>Current and Accrued Liabilities</t>
  </si>
  <si>
    <t>General Office Supplies and Expense</t>
  </si>
  <si>
    <t>Item</t>
  </si>
  <si>
    <t>correction to 30 yr average Degree Day</t>
  </si>
  <si>
    <t>Deferred Taxes (Sched 2)</t>
  </si>
  <si>
    <t>Electricity sales</t>
  </si>
  <si>
    <t xml:space="preserve">    Total Current Liabilities</t>
  </si>
  <si>
    <t>LONG-TERM DEBT, less current maturities</t>
  </si>
  <si>
    <t>Bank loan</t>
  </si>
  <si>
    <t>Skid steer loader</t>
  </si>
  <si>
    <t>Truck loan</t>
  </si>
  <si>
    <t xml:space="preserve">       Total long term debt</t>
  </si>
  <si>
    <t>Transportation Equipment</t>
  </si>
  <si>
    <t>Shop Equipment</t>
  </si>
  <si>
    <t>Proforma Adjustments - Expenses</t>
  </si>
  <si>
    <t>November</t>
  </si>
  <si>
    <t>December</t>
  </si>
  <si>
    <t>Total Taxes to be paid</t>
  </si>
  <si>
    <t>Concord Steam</t>
  </si>
  <si>
    <t>Rate Base</t>
  </si>
  <si>
    <t xml:space="preserve">Jurisdictional </t>
  </si>
  <si>
    <t>Total Production Equipment</t>
  </si>
  <si>
    <t>Mains</t>
  </si>
  <si>
    <t>Services</t>
  </si>
  <si>
    <t>Discharged</t>
  </si>
  <si>
    <t>CCF</t>
  </si>
  <si>
    <t>Sewer</t>
  </si>
  <si>
    <t>Change in Production Expense</t>
  </si>
  <si>
    <t>Depreciation</t>
  </si>
  <si>
    <t>Amortization</t>
  </si>
  <si>
    <t>Total bill</t>
  </si>
  <si>
    <t>Small</t>
  </si>
  <si>
    <t>Med</t>
  </si>
  <si>
    <t>Large</t>
  </si>
  <si>
    <t>Base rates only</t>
  </si>
  <si>
    <t>Prepayments</t>
  </si>
  <si>
    <t>Total Current Assets</t>
  </si>
  <si>
    <t>Total Assets</t>
  </si>
  <si>
    <t>Page 2 of 2</t>
  </si>
  <si>
    <t>Capitalization</t>
  </si>
  <si>
    <t>Operating Income Statement</t>
  </si>
  <si>
    <t>First</t>
  </si>
  <si>
    <t>Customers' Deposits</t>
  </si>
  <si>
    <t>Attachment 2</t>
  </si>
  <si>
    <t>Distribution</t>
  </si>
  <si>
    <t>Customer Accounting</t>
  </si>
  <si>
    <t>Power Plant Equipment</t>
  </si>
  <si>
    <t>MATERIALS AND SUPPLIES</t>
  </si>
  <si>
    <t>Oil inventory</t>
  </si>
  <si>
    <t>Additional revenue requested</t>
  </si>
  <si>
    <t>Total requested revenue from Base Rates</t>
  </si>
  <si>
    <t>Miscellaneous Current Liabilites</t>
  </si>
  <si>
    <t>Corrected</t>
  </si>
  <si>
    <t>No Cogen</t>
  </si>
  <si>
    <t>Mlbs</t>
  </si>
  <si>
    <t>heating</t>
  </si>
  <si>
    <t>Note:</t>
  </si>
  <si>
    <t>(Note 1)</t>
  </si>
  <si>
    <t>Net income</t>
  </si>
  <si>
    <t>April</t>
  </si>
  <si>
    <t>Misc. General Equipment</t>
  </si>
  <si>
    <t>Misc Property on Customers Premises</t>
  </si>
  <si>
    <t>30 yr ave</t>
  </si>
  <si>
    <t>Actual</t>
  </si>
  <si>
    <t>General Office Salaries</t>
  </si>
  <si>
    <t>Attachment 3</t>
  </si>
  <si>
    <t>Test year</t>
  </si>
  <si>
    <t>Attachment 4</t>
  </si>
  <si>
    <t>Attachment 1</t>
  </si>
  <si>
    <t>Supervision Fees and Special Services</t>
  </si>
  <si>
    <t>Regulatory Commission Expense</t>
  </si>
  <si>
    <t>Insurance</t>
  </si>
  <si>
    <t>Total Maintenance</t>
  </si>
  <si>
    <t>Total Payroll</t>
  </si>
  <si>
    <t>Meter</t>
  </si>
  <si>
    <t>Steam</t>
  </si>
  <si>
    <t>Energy</t>
  </si>
  <si>
    <t>Base</t>
  </si>
  <si>
    <t xml:space="preserve"> Test Period**</t>
  </si>
  <si>
    <t>Capital Structure for Rate Making Purposes</t>
  </si>
  <si>
    <t>Historical Capital Structure for Ratemaking Purposes</t>
  </si>
  <si>
    <t>Notes:</t>
  </si>
  <si>
    <t>1)</t>
  </si>
  <si>
    <t>Class of</t>
  </si>
  <si>
    <t>CURRENT LIABILITIES</t>
  </si>
  <si>
    <t>Payables to affliliated companies</t>
  </si>
  <si>
    <t>Taxes Accrued</t>
  </si>
  <si>
    <t>Net Income</t>
  </si>
  <si>
    <t>Based rate</t>
  </si>
  <si>
    <t>Cost of Energy</t>
  </si>
  <si>
    <t>Capital Structure for Ratemaking Purposes</t>
  </si>
  <si>
    <t>Adjustment made due to undercharge of energy component as of December 31, 2008</t>
  </si>
  <si>
    <t>Increase in labor rates</t>
  </si>
  <si>
    <t>2008/9</t>
  </si>
  <si>
    <t>2008 Base revenue as proformed</t>
  </si>
  <si>
    <t>Common Stock</t>
  </si>
  <si>
    <t>Customer Deposits (at Annual Report p. 101)</t>
  </si>
  <si>
    <t>Contr. in Aid of Constr. (CIAC) (Table 10)</t>
  </si>
  <si>
    <t>Reserves</t>
  </si>
  <si>
    <t>Less Accum. Amort of CIAC (Table 10)</t>
  </si>
  <si>
    <t>Sub-total CIAC less Amortization</t>
  </si>
  <si>
    <t>[1]</t>
  </si>
  <si>
    <t>[1] Cash working capital</t>
  </si>
  <si>
    <t xml:space="preserve">      </t>
  </si>
  <si>
    <t xml:space="preserve">  </t>
  </si>
  <si>
    <t>144,000 Mlbs</t>
  </si>
  <si>
    <t>Steam sales - change in customer use</t>
  </si>
  <si>
    <t>Cost of</t>
  </si>
  <si>
    <t>Energy</t>
  </si>
  <si>
    <t>Calculation of Operating Revenues</t>
  </si>
  <si>
    <t>Increase(decrease)</t>
  </si>
  <si>
    <t>Customer Accounts</t>
  </si>
  <si>
    <t>Base rate increase</t>
  </si>
  <si>
    <t>Incremental operating cost of steam sold</t>
  </si>
  <si>
    <t>Annual cost based</t>
  </si>
  <si>
    <t>Total Deduct. from Gross Income</t>
  </si>
  <si>
    <t>Federal Income Tax/BET</t>
  </si>
  <si>
    <t>x</t>
  </si>
  <si>
    <t>x</t>
  </si>
  <si>
    <t>x</t>
  </si>
  <si>
    <t>x</t>
  </si>
  <si>
    <t>Schedule 3-B</t>
  </si>
  <si>
    <t>Revenue deficiency</t>
  </si>
  <si>
    <t>After tax revenue requested</t>
  </si>
  <si>
    <t>Schedule 3</t>
  </si>
  <si>
    <t>Production expenses</t>
  </si>
  <si>
    <t>Degree day</t>
  </si>
  <si>
    <t>to sewer</t>
  </si>
  <si>
    <t>Total Fixed Capital</t>
  </si>
  <si>
    <t>Current Assets</t>
  </si>
  <si>
    <t>Common Equity</t>
  </si>
  <si>
    <t>Preferred Stock Equity</t>
  </si>
  <si>
    <t>Customer's Meters and Installations</t>
  </si>
  <si>
    <t>Long Term Debt</t>
  </si>
  <si>
    <t>New Base rates based on these sales:</t>
  </si>
  <si>
    <t>Test Year Ending December 31, 2008</t>
  </si>
  <si>
    <t>Revenue</t>
  </si>
  <si>
    <t xml:space="preserve">Incremental cost to </t>
  </si>
  <si>
    <t xml:space="preserve">on sale of </t>
  </si>
  <si>
    <t>Produce Additional</t>
  </si>
  <si>
    <t>Cost per</t>
  </si>
  <si>
    <t>Property</t>
  </si>
  <si>
    <t>Not applicable - no preferred stock issued</t>
  </si>
  <si>
    <t>Contribution in aid of construction</t>
  </si>
  <si>
    <t>Bonds</t>
  </si>
  <si>
    <t>Capitalized Lease</t>
  </si>
  <si>
    <t>Materials and Supplies</t>
  </si>
  <si>
    <t>Parts and Supplies</t>
  </si>
  <si>
    <t>Monthly Sales Amounts</t>
  </si>
  <si>
    <t>Commercial</t>
  </si>
  <si>
    <t>Customers</t>
  </si>
  <si>
    <t>Total Revenue Deductions</t>
  </si>
  <si>
    <t>Operating Rents, net</t>
  </si>
  <si>
    <t>Net Operating Income</t>
  </si>
  <si>
    <t>Employees Welfare and Relief</t>
  </si>
  <si>
    <t>Miscellaneous General Expense</t>
  </si>
  <si>
    <t>March</t>
  </si>
  <si>
    <t>non heating</t>
  </si>
  <si>
    <t>Exhibit 4</t>
  </si>
  <si>
    <t>DG 09 -</t>
  </si>
  <si>
    <t>Exhibit 5</t>
  </si>
  <si>
    <t>Exhibit 6</t>
  </si>
  <si>
    <t>Year Ended December 31, 2008</t>
  </si>
  <si>
    <t>Non-operating activities</t>
  </si>
  <si>
    <t>Interest income</t>
  </si>
  <si>
    <t>Loss on disposals</t>
  </si>
  <si>
    <t>Net non-operating activities</t>
  </si>
  <si>
    <t>Gross income</t>
  </si>
  <si>
    <t>Deductions from Gross Income</t>
  </si>
  <si>
    <t>Interest on long-term debt</t>
  </si>
  <si>
    <t>Interest on short-term debt</t>
  </si>
  <si>
    <t>DEFERRED CREDITS</t>
  </si>
  <si>
    <t>RESERVES</t>
  </si>
  <si>
    <t xml:space="preserve">    Total Reserves</t>
  </si>
  <si>
    <t>Miscellaneous Tangible Property</t>
  </si>
  <si>
    <t>CURRENT ASSETS</t>
  </si>
  <si>
    <t>Receivables from Affiliated Co.</t>
  </si>
  <si>
    <t>Misc. Current Assets</t>
  </si>
  <si>
    <t xml:space="preserve">    Total Current Assets</t>
  </si>
  <si>
    <t>CAPITALIZATION AND LIABILITIES</t>
  </si>
  <si>
    <t>CAPITALIZATION</t>
  </si>
  <si>
    <t>Other Surplus - Working Capital</t>
  </si>
  <si>
    <t>Oil Inventory</t>
  </si>
  <si>
    <t>Adjusted Net Operating Income</t>
  </si>
  <si>
    <t>Merchandise Operations</t>
  </si>
  <si>
    <t>Total Materials and Supplies</t>
  </si>
  <si>
    <t>Concord Steam Corp.</t>
  </si>
  <si>
    <t>Schedule 1</t>
  </si>
  <si>
    <t>Earned Surplus</t>
  </si>
  <si>
    <t>Total Capitalization</t>
  </si>
  <si>
    <t>Accountants</t>
  </si>
  <si>
    <t>Legal</t>
  </si>
  <si>
    <t>Loader deductible</t>
  </si>
  <si>
    <t>Test Year ending Dec. 31, 2008</t>
  </si>
  <si>
    <t>General and Misc Structures</t>
  </si>
  <si>
    <t>Deferred Debits</t>
  </si>
  <si>
    <t>Report of Proposed Rate Changes</t>
  </si>
  <si>
    <t xml:space="preserve">Rate of </t>
  </si>
  <si>
    <t>DG 09 -</t>
  </si>
  <si>
    <t>Concord Steam Corp</t>
  </si>
  <si>
    <t>Balance Sheet</t>
  </si>
  <si>
    <t>Net change in base rate sales afer all corrections and adjustments</t>
  </si>
  <si>
    <t>Base rate</t>
  </si>
  <si>
    <t>Test Year Ending December 31, 2003</t>
  </si>
  <si>
    <t>Electricity</t>
  </si>
  <si>
    <t>Revenue from existing base rate</t>
  </si>
  <si>
    <t>Year</t>
  </si>
  <si>
    <t>Adjustments</t>
  </si>
  <si>
    <t>Operating Revenues</t>
  </si>
  <si>
    <t>Schedule 2A</t>
  </si>
  <si>
    <t>Schedule 2B</t>
  </si>
  <si>
    <t>Customer Accounting (Sched 1B)</t>
  </si>
  <si>
    <t xml:space="preserve">Distribution </t>
  </si>
  <si>
    <t>Production Labor change</t>
  </si>
  <si>
    <t>Over/(under)</t>
  </si>
  <si>
    <t>charge</t>
  </si>
  <si>
    <t xml:space="preserve"> Sales</t>
  </si>
  <si>
    <t>sold</t>
  </si>
  <si>
    <t>Adjusted</t>
  </si>
  <si>
    <t xml:space="preserve">     Mlbs</t>
  </si>
  <si>
    <t>General Tools and Implements</t>
  </si>
  <si>
    <t>Total Proposed Revenues</t>
  </si>
  <si>
    <t>(Unamortized Premium and Discount)</t>
  </si>
  <si>
    <t>(Unamortized Expenses)</t>
  </si>
  <si>
    <t>Total Capital</t>
  </si>
  <si>
    <t>TOTAL</t>
  </si>
  <si>
    <t>Exhibit 2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</si>
</sst>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General_)"/>
    <numFmt numFmtId="170" formatCode="_(* #,##0_);_(* \(#,##0\);_(* &quot;-&quot;??_);_(@_)"/>
    <numFmt numFmtId="171" formatCode="_(* #,##0.0_);_(* \(#,##0.0\);_(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mm/dd/yy"/>
    <numFmt numFmtId="175" formatCode="0.0000"/>
    <numFmt numFmtId="176" formatCode="0.000"/>
    <numFmt numFmtId="177" formatCode="0.0"/>
    <numFmt numFmtId="178" formatCode="0.00_);[Red]\(0.00\)"/>
    <numFmt numFmtId="179" formatCode="0.0_);[Red]\(0.0\)"/>
    <numFmt numFmtId="180" formatCode="0_);[Red]\(0\)"/>
    <numFmt numFmtId="181" formatCode="0.0%"/>
    <numFmt numFmtId="182" formatCode="_(* #,##0.000_);_(* \(#,##0.000\);_(* &quot;-&quot;??_);_(@_)"/>
    <numFmt numFmtId="183" formatCode="_(* #,##0.0000_);_(* \(#,##0.0000\);_(* &quot;-&quot;??_);_(@_)"/>
    <numFmt numFmtId="184" formatCode="_(* #,##0.0000_);_(* \(#,##0.0000\);_(* &quot;-&quot;????_);_(@_)"/>
    <numFmt numFmtId="185" formatCode="0.000000000000000%"/>
    <numFmt numFmtId="186" formatCode="0.00000000000000%"/>
    <numFmt numFmtId="187" formatCode="0.0000000000000%"/>
    <numFmt numFmtId="188" formatCode="0.000000000000%"/>
    <numFmt numFmtId="189" formatCode="0.00000000000%"/>
    <numFmt numFmtId="190" formatCode="0.0000000000%"/>
    <numFmt numFmtId="191" formatCode="0.000000000%"/>
    <numFmt numFmtId="192" formatCode="0.00000000%"/>
    <numFmt numFmtId="193" formatCode="0.0000000%"/>
    <numFmt numFmtId="194" formatCode="0.000000%"/>
    <numFmt numFmtId="195" formatCode="0.00000%"/>
    <numFmt numFmtId="196" formatCode="0.0000%"/>
    <numFmt numFmtId="197" formatCode="0.000%"/>
    <numFmt numFmtId="198" formatCode="_(&quot;$&quot;* #,##0.000_);_(&quot;$&quot;* \(#,##0.000\);_(&quot;$&quot;* &quot;-&quot;??_);_(@_)"/>
    <numFmt numFmtId="199" formatCode="_(&quot;$&quot;* #,##0.0000_);_(&quot;$&quot;* \(#,##0.0000\);_(&quot;$&quot;* &quot;-&quot;??_);_(@_)"/>
    <numFmt numFmtId="200" formatCode="0.000000"/>
    <numFmt numFmtId="201" formatCode="0.00000"/>
    <numFmt numFmtId="202" formatCode="0.0000000"/>
    <numFmt numFmtId="203" formatCode="_(* #,##0.000_);_(* \(#,##0.000\);_(* &quot;-&quot;???_);_(@_)"/>
    <numFmt numFmtId="204" formatCode="_(* #,##0.0_);_(* \(#,##0.0\);_(* &quot;-&quot;?_);_(@_)"/>
    <numFmt numFmtId="205" formatCode="0.00_);\(0.00\)"/>
    <numFmt numFmtId="206" formatCode="0.000_);\(0.000\)"/>
    <numFmt numFmtId="207" formatCode="0.0_);\(0.0\)"/>
    <numFmt numFmtId="208" formatCode="0_);\(0\)"/>
    <numFmt numFmtId="209" formatCode="_(\$* #,##0_);_(\$* \(#,##0\);_(\$* \-??_);_(@_)"/>
    <numFmt numFmtId="210" formatCode="_(* #,##0_);_(* \(#,##0\);_(* \-??_);_(@_)"/>
    <numFmt numFmtId="211" formatCode="_(* #,##0.00_);_(* \(#,##0.00\);_(* \-??_);_(@_)"/>
    <numFmt numFmtId="212" formatCode="m/d/yyyy"/>
    <numFmt numFmtId="213" formatCode="#,##0.0"/>
  </numFmts>
  <fonts count="26">
    <font>
      <sz val="10"/>
      <name val="Arial"/>
      <family val="0"/>
    </font>
    <font>
      <b/>
      <sz val="10"/>
      <name val="Genev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Geneva"/>
      <family val="0"/>
    </font>
    <font>
      <b/>
      <sz val="9"/>
      <name val="Geneva"/>
      <family val="0"/>
    </font>
    <font>
      <b/>
      <sz val="10"/>
      <name val="Arial"/>
      <family val="2"/>
    </font>
    <font>
      <sz val="10"/>
      <name val="Geneva"/>
      <family val="0"/>
    </font>
    <font>
      <b/>
      <u val="single"/>
      <sz val="10"/>
      <name val="Arial"/>
      <family val="2"/>
    </font>
    <font>
      <b/>
      <sz val="12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name val="Verdana"/>
      <family val="0"/>
    </font>
    <font>
      <sz val="10"/>
      <color indexed="8"/>
      <name val="Arial"/>
      <family val="0"/>
    </font>
    <font>
      <b/>
      <sz val="12"/>
      <name val="Helv"/>
      <family val="2"/>
    </font>
    <font>
      <sz val="9"/>
      <name val="Book Antiqua"/>
      <family val="1"/>
    </font>
    <font>
      <i/>
      <sz val="10"/>
      <name val="Book Antiqua"/>
      <family val="1"/>
    </font>
    <font>
      <sz val="10"/>
      <name val="Book Antiqua"/>
      <family val="1"/>
    </font>
    <font>
      <i/>
      <sz val="12"/>
      <name val="Helv"/>
      <family val="2"/>
    </font>
    <font>
      <b/>
      <sz val="10"/>
      <name val="Book Antiqua"/>
      <family val="1"/>
    </font>
    <font>
      <b/>
      <sz val="10"/>
      <name val="Helv"/>
      <family val="0"/>
    </font>
    <font>
      <sz val="12"/>
      <name val="Helv"/>
      <family val="0"/>
    </font>
    <font>
      <sz val="10"/>
      <name val="Helv"/>
      <family val="0"/>
    </font>
    <font>
      <sz val="16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gray125">
        <fgColor indexed="43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70" fontId="0" fillId="0" borderId="0" xfId="15" applyNumberFormat="1" applyFont="1" applyAlignment="1">
      <alignment/>
    </xf>
    <xf numFmtId="170" fontId="0" fillId="0" borderId="1" xfId="15" applyNumberFormat="1" applyFont="1" applyBorder="1" applyAlignment="1">
      <alignment/>
    </xf>
    <xf numFmtId="170" fontId="0" fillId="0" borderId="2" xfId="15" applyNumberFormat="1" applyFont="1" applyBorder="1" applyAlignment="1">
      <alignment/>
    </xf>
    <xf numFmtId="14" fontId="0" fillId="0" borderId="0" xfId="0" applyNumberFormat="1" applyAlignment="1">
      <alignment/>
    </xf>
    <xf numFmtId="173" fontId="0" fillId="0" borderId="0" xfId="17" applyNumberFormat="1" applyFont="1" applyAlignment="1">
      <alignment/>
    </xf>
    <xf numFmtId="173" fontId="0" fillId="0" borderId="2" xfId="17" applyNumberFormat="1" applyFont="1" applyBorder="1" applyAlignment="1">
      <alignment/>
    </xf>
    <xf numFmtId="173" fontId="0" fillId="0" borderId="0" xfId="0" applyNumberFormat="1" applyAlignment="1">
      <alignment/>
    </xf>
    <xf numFmtId="43" fontId="0" fillId="0" borderId="0" xfId="15" applyFont="1" applyAlignment="1">
      <alignment/>
    </xf>
    <xf numFmtId="174" fontId="0" fillId="0" borderId="1" xfId="0" applyNumberFormat="1" applyBorder="1" applyAlignment="1">
      <alignment horizontal="center"/>
    </xf>
    <xf numFmtId="170" fontId="0" fillId="0" borderId="0" xfId="15" applyNumberFormat="1" applyFont="1" applyBorder="1" applyAlignment="1">
      <alignment/>
    </xf>
    <xf numFmtId="10" fontId="0" fillId="0" borderId="0" xfId="21" applyNumberFormat="1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38" fontId="0" fillId="0" borderId="0" xfId="15" applyNumberFormat="1" applyFont="1" applyAlignment="1">
      <alignment/>
    </xf>
    <xf numFmtId="38" fontId="0" fillId="0" borderId="1" xfId="15" applyNumberFormat="1" applyFont="1" applyBorder="1" applyAlignment="1">
      <alignment/>
    </xf>
    <xf numFmtId="38" fontId="0" fillId="0" borderId="0" xfId="17" applyNumberFormat="1" applyFont="1" applyAlignment="1">
      <alignment/>
    </xf>
    <xf numFmtId="38" fontId="0" fillId="0" borderId="0" xfId="15" applyNumberFormat="1" applyFont="1" applyBorder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44" fontId="0" fillId="0" borderId="0" xfId="0" applyNumberFormat="1" applyAlignment="1">
      <alignment/>
    </xf>
    <xf numFmtId="173" fontId="6" fillId="0" borderId="0" xfId="17" applyNumberFormat="1" applyFont="1" applyAlignment="1">
      <alignment/>
    </xf>
    <xf numFmtId="37" fontId="0" fillId="0" borderId="0" xfId="0" applyNumberFormat="1" applyAlignment="1">
      <alignment/>
    </xf>
    <xf numFmtId="44" fontId="0" fillId="0" borderId="0" xfId="17" applyFont="1" applyAlignment="1">
      <alignment/>
    </xf>
    <xf numFmtId="0" fontId="5" fillId="0" borderId="0" xfId="0" applyFont="1" applyAlignment="1">
      <alignment/>
    </xf>
    <xf numFmtId="173" fontId="5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7" fontId="0" fillId="0" borderId="0" xfId="0" applyNumberFormat="1" applyFill="1" applyBorder="1" applyAlignment="1">
      <alignment/>
    </xf>
    <xf numFmtId="10" fontId="5" fillId="0" borderId="0" xfId="0" applyNumberFormat="1" applyFont="1" applyAlignment="1">
      <alignment/>
    </xf>
    <xf numFmtId="173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170" fontId="5" fillId="0" borderId="0" xfId="0" applyNumberFormat="1" applyFont="1" applyAlignment="1">
      <alignment/>
    </xf>
    <xf numFmtId="173" fontId="0" fillId="0" borderId="0" xfId="17" applyNumberFormat="1" applyFont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170" fontId="0" fillId="0" borderId="0" xfId="0" applyNumberFormat="1" applyAlignment="1">
      <alignment/>
    </xf>
    <xf numFmtId="43" fontId="0" fillId="0" borderId="0" xfId="0" applyNumberFormat="1" applyAlignment="1">
      <alignment/>
    </xf>
    <xf numFmtId="170" fontId="0" fillId="0" borderId="0" xfId="15" applyNumberFormat="1" applyFont="1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3" fontId="0" fillId="0" borderId="0" xfId="15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0" borderId="0" xfId="15" applyNumberFormat="1" applyFont="1" applyAlignment="1">
      <alignment/>
    </xf>
    <xf numFmtId="170" fontId="0" fillId="0" borderId="0" xfId="15" applyNumberFormat="1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1" xfId="0" applyBorder="1" applyAlignment="1">
      <alignment/>
    </xf>
    <xf numFmtId="174" fontId="0" fillId="0" borderId="0" xfId="0" applyNumberFormat="1" applyBorder="1" applyAlignment="1">
      <alignment horizontal="center"/>
    </xf>
    <xf numFmtId="38" fontId="0" fillId="0" borderId="1" xfId="17" applyNumberFormat="1" applyFont="1" applyBorder="1" applyAlignment="1">
      <alignment/>
    </xf>
    <xf numFmtId="173" fontId="0" fillId="0" borderId="0" xfId="17" applyNumberFormat="1" applyFont="1" applyAlignment="1">
      <alignment/>
    </xf>
    <xf numFmtId="44" fontId="0" fillId="0" borderId="0" xfId="17" applyFont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0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3" xfId="0" applyBorder="1" applyAlignment="1">
      <alignment/>
    </xf>
    <xf numFmtId="1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73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0" fontId="8" fillId="0" borderId="0" xfId="0" applyFont="1" applyAlignment="1">
      <alignment horizontal="right"/>
    </xf>
    <xf numFmtId="41" fontId="0" fillId="0" borderId="0" xfId="0" applyNumberFormat="1" applyAlignment="1">
      <alignment/>
    </xf>
    <xf numFmtId="41" fontId="0" fillId="0" borderId="0" xfId="15" applyNumberFormat="1" applyFont="1" applyAlignment="1">
      <alignment/>
    </xf>
    <xf numFmtId="41" fontId="0" fillId="0" borderId="1" xfId="15" applyNumberFormat="1" applyFont="1" applyBorder="1" applyAlignment="1">
      <alignment/>
    </xf>
    <xf numFmtId="41" fontId="0" fillId="0" borderId="1" xfId="0" applyNumberFormat="1" applyBorder="1" applyAlignment="1">
      <alignment/>
    </xf>
    <xf numFmtId="42" fontId="0" fillId="0" borderId="0" xfId="17" applyNumberFormat="1" applyFont="1" applyAlignment="1">
      <alignment/>
    </xf>
    <xf numFmtId="0" fontId="9" fillId="0" borderId="0" xfId="0" applyFont="1" applyAlignment="1">
      <alignment horizontal="center"/>
    </xf>
    <xf numFmtId="170" fontId="0" fillId="0" borderId="4" xfId="15" applyNumberFormat="1" applyFont="1" applyBorder="1" applyAlignment="1">
      <alignment/>
    </xf>
    <xf numFmtId="41" fontId="0" fillId="0" borderId="0" xfId="17" applyNumberFormat="1" applyFont="1" applyAlignment="1">
      <alignment/>
    </xf>
    <xf numFmtId="42" fontId="0" fillId="0" borderId="2" xfId="17" applyNumberFormat="1" applyFont="1" applyBorder="1" applyAlignment="1">
      <alignment/>
    </xf>
    <xf numFmtId="42" fontId="0" fillId="0" borderId="0" xfId="17" applyNumberFormat="1" applyFont="1" applyBorder="1" applyAlignment="1">
      <alignment/>
    </xf>
    <xf numFmtId="2" fontId="0" fillId="0" borderId="0" xfId="0" applyNumberFormat="1" applyAlignment="1">
      <alignment/>
    </xf>
    <xf numFmtId="0" fontId="10" fillId="0" borderId="0" xfId="0" applyFont="1" applyAlignment="1">
      <alignment/>
    </xf>
    <xf numFmtId="43" fontId="0" fillId="0" borderId="0" xfId="15" applyNumberFormat="1" applyFont="1" applyAlignment="1" applyProtection="1">
      <alignment horizontal="center"/>
      <protection locked="0"/>
    </xf>
    <xf numFmtId="3" fontId="0" fillId="0" borderId="0" xfId="0" applyNumberFormat="1" applyAlignment="1">
      <alignment horizontal="right"/>
    </xf>
    <xf numFmtId="170" fontId="0" fillId="0" borderId="3" xfId="15" applyNumberFormat="1" applyFont="1" applyBorder="1" applyAlignment="1">
      <alignment/>
    </xf>
    <xf numFmtId="173" fontId="5" fillId="0" borderId="3" xfId="0" applyNumberFormat="1" applyFont="1" applyBorder="1" applyAlignment="1">
      <alignment/>
    </xf>
    <xf numFmtId="0" fontId="0" fillId="0" borderId="0" xfId="0" applyAlignment="1" applyProtection="1">
      <alignment horizontal="left"/>
      <protection locked="0"/>
    </xf>
    <xf numFmtId="3" fontId="8" fillId="0" borderId="0" xfId="0" applyNumberFormat="1" applyFont="1" applyAlignment="1">
      <alignment/>
    </xf>
    <xf numFmtId="9" fontId="0" fillId="0" borderId="0" xfId="21" applyNumberFormat="1" applyFont="1" applyAlignment="1">
      <alignment/>
    </xf>
    <xf numFmtId="3" fontId="6" fillId="0" borderId="0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center"/>
    </xf>
    <xf numFmtId="170" fontId="0" fillId="0" borderId="1" xfId="0" applyNumberFormat="1" applyBorder="1" applyAlignment="1">
      <alignment/>
    </xf>
    <xf numFmtId="208" fontId="0" fillId="0" borderId="0" xfId="0" applyNumberFormat="1" applyAlignment="1">
      <alignment/>
    </xf>
    <xf numFmtId="208" fontId="0" fillId="0" borderId="1" xfId="0" applyNumberFormat="1" applyBorder="1" applyAlignment="1">
      <alignment/>
    </xf>
    <xf numFmtId="208" fontId="0" fillId="0" borderId="1" xfId="15" applyNumberFormat="1" applyFont="1" applyBorder="1" applyAlignment="1">
      <alignment/>
    </xf>
    <xf numFmtId="0" fontId="0" fillId="2" borderId="0" xfId="0" applyFill="1" applyAlignment="1">
      <alignment/>
    </xf>
    <xf numFmtId="170" fontId="0" fillId="2" borderId="0" xfId="15" applyNumberFormat="1" applyFont="1" applyFill="1" applyAlignment="1">
      <alignment/>
    </xf>
    <xf numFmtId="211" fontId="0" fillId="0" borderId="0" xfId="0" applyNumberFormat="1" applyAlignment="1">
      <alignment/>
    </xf>
    <xf numFmtId="170" fontId="0" fillId="2" borderId="1" xfId="15" applyNumberFormat="1" applyFont="1" applyFill="1" applyBorder="1" applyAlignment="1">
      <alignment/>
    </xf>
    <xf numFmtId="170" fontId="0" fillId="2" borderId="0" xfId="15" applyNumberFormat="1" applyFont="1" applyFill="1" applyBorder="1" applyAlignment="1">
      <alignment/>
    </xf>
    <xf numFmtId="170" fontId="0" fillId="2" borderId="0" xfId="0" applyNumberFormat="1" applyFill="1" applyAlignment="1">
      <alignment/>
    </xf>
    <xf numFmtId="0" fontId="0" fillId="3" borderId="0" xfId="0" applyFill="1" applyAlignment="1">
      <alignment/>
    </xf>
    <xf numFmtId="170" fontId="0" fillId="3" borderId="0" xfId="15" applyNumberFormat="1" applyFont="1" applyFill="1" applyAlignment="1">
      <alignment/>
    </xf>
    <xf numFmtId="170" fontId="0" fillId="3" borderId="1" xfId="15" applyNumberFormat="1" applyFont="1" applyFill="1" applyBorder="1" applyAlignment="1">
      <alignment/>
    </xf>
    <xf numFmtId="170" fontId="0" fillId="3" borderId="0" xfId="15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7" fontId="0" fillId="0" borderId="0" xfId="0" applyNumberFormat="1" applyFont="1" applyAlignment="1" quotePrefix="1">
      <alignment/>
    </xf>
    <xf numFmtId="170" fontId="0" fillId="0" borderId="0" xfId="15" applyNumberFormat="1" applyFont="1" applyAlignment="1">
      <alignment/>
    </xf>
    <xf numFmtId="170" fontId="0" fillId="0" borderId="1" xfId="15" applyNumberFormat="1" applyFont="1" applyBorder="1" applyAlignment="1">
      <alignment/>
    </xf>
    <xf numFmtId="170" fontId="0" fillId="0" borderId="0" xfId="15" applyNumberFormat="1" applyFont="1" applyBorder="1" applyAlignment="1">
      <alignment/>
    </xf>
    <xf numFmtId="170" fontId="0" fillId="3" borderId="0" xfId="15" applyNumberFormat="1" applyFont="1" applyFill="1" applyAlignment="1">
      <alignment/>
    </xf>
    <xf numFmtId="170" fontId="0" fillId="0" borderId="0" xfId="0" applyNumberFormat="1" applyFont="1" applyAlignment="1">
      <alignment/>
    </xf>
    <xf numFmtId="208" fontId="0" fillId="0" borderId="0" xfId="0" applyNumberFormat="1" applyFont="1" applyAlignment="1">
      <alignment/>
    </xf>
    <xf numFmtId="208" fontId="0" fillId="0" borderId="1" xfId="0" applyNumberFormat="1" applyFont="1" applyBorder="1" applyAlignment="1">
      <alignment/>
    </xf>
    <xf numFmtId="170" fontId="0" fillId="0" borderId="1" xfId="0" applyNumberFormat="1" applyFont="1" applyBorder="1" applyAlignment="1">
      <alignment/>
    </xf>
    <xf numFmtId="170" fontId="0" fillId="0" borderId="0" xfId="15" applyNumberFormat="1" applyFont="1" applyBorder="1" applyAlignment="1">
      <alignment/>
    </xf>
    <xf numFmtId="170" fontId="0" fillId="0" borderId="1" xfId="15" applyNumberFormat="1" applyFont="1" applyBorder="1" applyAlignment="1">
      <alignment/>
    </xf>
    <xf numFmtId="170" fontId="0" fillId="3" borderId="0" xfId="15" applyNumberFormat="1" applyFont="1" applyFill="1" applyAlignment="1">
      <alignment/>
    </xf>
    <xf numFmtId="170" fontId="0" fillId="0" borderId="0" xfId="0" applyNumberFormat="1" applyFont="1" applyAlignment="1">
      <alignment/>
    </xf>
    <xf numFmtId="208" fontId="0" fillId="0" borderId="0" xfId="0" applyNumberFormat="1" applyFont="1" applyAlignment="1">
      <alignment/>
    </xf>
    <xf numFmtId="208" fontId="0" fillId="0" borderId="1" xfId="0" applyNumberFormat="1" applyFont="1" applyBorder="1" applyAlignment="1">
      <alignment/>
    </xf>
    <xf numFmtId="170" fontId="0" fillId="0" borderId="1" xfId="0" applyNumberFormat="1" applyFont="1" applyBorder="1" applyAlignment="1">
      <alignment/>
    </xf>
    <xf numFmtId="210" fontId="0" fillId="0" borderId="0" xfId="0" applyNumberFormat="1" applyAlignment="1">
      <alignment/>
    </xf>
    <xf numFmtId="0" fontId="19" fillId="0" borderId="0" xfId="0" applyFont="1" applyAlignment="1">
      <alignment/>
    </xf>
    <xf numFmtId="209" fontId="0" fillId="0" borderId="5" xfId="17" applyNumberFormat="1" applyFont="1" applyFill="1" applyBorder="1" applyAlignment="1" applyProtection="1">
      <alignment/>
      <protection/>
    </xf>
    <xf numFmtId="37" fontId="0" fillId="0" borderId="5" xfId="0" applyNumberFormat="1" applyBorder="1" applyAlignment="1">
      <alignment/>
    </xf>
    <xf numFmtId="0" fontId="0" fillId="0" borderId="6" xfId="0" applyBorder="1" applyAlignment="1">
      <alignment horizontal="right"/>
    </xf>
    <xf numFmtId="3" fontId="0" fillId="0" borderId="4" xfId="0" applyNumberFormat="1" applyBorder="1" applyAlignment="1">
      <alignment/>
    </xf>
    <xf numFmtId="3" fontId="0" fillId="0" borderId="7" xfId="0" applyNumberFormat="1" applyBorder="1" applyAlignment="1">
      <alignment/>
    </xf>
    <xf numFmtId="170" fontId="14" fillId="0" borderId="0" xfId="15" applyNumberFormat="1" applyFont="1" applyAlignment="1">
      <alignment/>
    </xf>
    <xf numFmtId="170" fontId="14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15" fillId="0" borderId="0" xfId="0" applyFont="1" applyAlignment="1" applyProtection="1">
      <alignment horizontal="center"/>
      <protection locked="0"/>
    </xf>
    <xf numFmtId="38" fontId="16" fillId="0" borderId="0" xfId="0" applyNumberFormat="1" applyFont="1" applyAlignment="1">
      <alignment horizontal="center"/>
    </xf>
    <xf numFmtId="209" fontId="0" fillId="0" borderId="0" xfId="17" applyNumberFormat="1" applyFont="1" applyFill="1" applyBorder="1" applyAlignment="1" applyProtection="1">
      <alignment/>
      <protection/>
    </xf>
    <xf numFmtId="210" fontId="0" fillId="0" borderId="0" xfId="15" applyNumberFormat="1" applyFont="1" applyFill="1" applyBorder="1" applyAlignment="1" applyProtection="1">
      <alignment/>
      <protection/>
    </xf>
    <xf numFmtId="210" fontId="0" fillId="0" borderId="8" xfId="15" applyNumberFormat="1" applyFont="1" applyFill="1" applyBorder="1" applyAlignment="1" applyProtection="1">
      <alignment/>
      <protection/>
    </xf>
    <xf numFmtId="38" fontId="0" fillId="0" borderId="8" xfId="0" applyNumberFormat="1" applyBorder="1" applyAlignment="1">
      <alignment/>
    </xf>
    <xf numFmtId="37" fontId="0" fillId="0" borderId="8" xfId="0" applyNumberFormat="1" applyBorder="1" applyAlignment="1">
      <alignment/>
    </xf>
    <xf numFmtId="0" fontId="17" fillId="0" borderId="0" xfId="0" applyFont="1" applyAlignment="1">
      <alignment/>
    </xf>
    <xf numFmtId="38" fontId="0" fillId="0" borderId="0" xfId="0" applyNumberFormat="1" applyAlignment="1">
      <alignment/>
    </xf>
    <xf numFmtId="38" fontId="18" fillId="0" borderId="0" xfId="0" applyNumberFormat="1" applyFont="1" applyAlignment="1">
      <alignment/>
    </xf>
    <xf numFmtId="210" fontId="0" fillId="0" borderId="9" xfId="15" applyNumberFormat="1" applyFont="1" applyFill="1" applyBorder="1" applyAlignment="1" applyProtection="1">
      <alignment/>
      <protection/>
    </xf>
    <xf numFmtId="37" fontId="0" fillId="0" borderId="9" xfId="0" applyNumberFormat="1" applyBorder="1" applyAlignment="1">
      <alignment/>
    </xf>
    <xf numFmtId="38" fontId="20" fillId="0" borderId="8" xfId="0" applyNumberFormat="1" applyFont="1" applyBorder="1" applyAlignment="1">
      <alignment/>
    </xf>
    <xf numFmtId="209" fontId="0" fillId="0" borderId="0" xfId="0" applyNumberFormat="1" applyAlignment="1">
      <alignment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212" fontId="0" fillId="0" borderId="0" xfId="0" applyNumberFormat="1" applyAlignment="1">
      <alignment horizontal="center"/>
    </xf>
    <xf numFmtId="209" fontId="0" fillId="0" borderId="1" xfId="17" applyNumberFormat="1" applyFont="1" applyFill="1" applyBorder="1" applyAlignment="1" applyProtection="1">
      <alignment/>
      <protection/>
    </xf>
    <xf numFmtId="210" fontId="0" fillId="0" borderId="1" xfId="15" applyNumberFormat="1" applyFont="1" applyFill="1" applyBorder="1" applyAlignment="1" applyProtection="1">
      <alignment/>
      <protection/>
    </xf>
    <xf numFmtId="173" fontId="0" fillId="0" borderId="0" xfId="17" applyNumberFormat="1" applyFont="1" applyAlignment="1">
      <alignment/>
    </xf>
    <xf numFmtId="173" fontId="0" fillId="0" borderId="1" xfId="17" applyNumberFormat="1" applyFont="1" applyBorder="1" applyAlignment="1">
      <alignment/>
    </xf>
    <xf numFmtId="10" fontId="0" fillId="0" borderId="0" xfId="21" applyNumberFormat="1" applyFont="1" applyFill="1" applyBorder="1" applyAlignment="1" applyProtection="1">
      <alignment/>
      <protection/>
    </xf>
    <xf numFmtId="10" fontId="0" fillId="0" borderId="8" xfId="21" applyNumberFormat="1" applyFont="1" applyFill="1" applyBorder="1" applyAlignment="1" applyProtection="1">
      <alignment/>
      <protection/>
    </xf>
    <xf numFmtId="10" fontId="0" fillId="0" borderId="5" xfId="21" applyNumberFormat="1" applyFont="1" applyFill="1" applyBorder="1" applyAlignment="1" applyProtection="1">
      <alignment/>
      <protection/>
    </xf>
    <xf numFmtId="173" fontId="0" fillId="0" borderId="10" xfId="17" applyNumberFormat="1" applyFont="1" applyBorder="1" applyAlignment="1">
      <alignment/>
    </xf>
    <xf numFmtId="43" fontId="0" fillId="0" borderId="0" xfId="15" applyNumberFormat="1" applyFont="1" applyAlignment="1">
      <alignment/>
    </xf>
    <xf numFmtId="170" fontId="7" fillId="0" borderId="0" xfId="15" applyNumberFormat="1" applyFont="1" applyAlignment="1">
      <alignment/>
    </xf>
    <xf numFmtId="4" fontId="0" fillId="0" borderId="0" xfId="0" applyNumberFormat="1" applyAlignment="1">
      <alignment/>
    </xf>
    <xf numFmtId="170" fontId="21" fillId="0" borderId="0" xfId="15" applyNumberFormat="1" applyFont="1" applyAlignment="1">
      <alignment/>
    </xf>
    <xf numFmtId="0" fontId="0" fillId="0" borderId="0" xfId="0" applyAlignment="1">
      <alignment horizontal="center"/>
    </xf>
    <xf numFmtId="10" fontId="0" fillId="0" borderId="0" xfId="21" applyNumberFormat="1" applyFont="1" applyAlignment="1">
      <alignment/>
    </xf>
    <xf numFmtId="8" fontId="0" fillId="0" borderId="0" xfId="0" applyNumberFormat="1" applyAlignment="1">
      <alignment/>
    </xf>
    <xf numFmtId="10" fontId="0" fillId="0" borderId="0" xfId="21" applyNumberFormat="1" applyFont="1" applyAlignment="1">
      <alignment/>
    </xf>
    <xf numFmtId="0" fontId="0" fillId="0" borderId="0" xfId="0" applyAlignment="1">
      <alignment horizontal="center"/>
    </xf>
    <xf numFmtId="170" fontId="0" fillId="0" borderId="0" xfId="15" applyNumberFormat="1" applyFont="1" applyAlignment="1">
      <alignment/>
    </xf>
    <xf numFmtId="170" fontId="0" fillId="0" borderId="0" xfId="15" applyNumberFormat="1" applyFont="1" applyAlignment="1">
      <alignment/>
    </xf>
    <xf numFmtId="17" fontId="0" fillId="0" borderId="0" xfId="0" applyNumberFormat="1" applyAlignment="1">
      <alignment/>
    </xf>
    <xf numFmtId="170" fontId="0" fillId="0" borderId="0" xfId="15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3" fontId="0" fillId="0" borderId="0" xfId="15" applyFont="1" applyAlignment="1">
      <alignment/>
    </xf>
    <xf numFmtId="0" fontId="0" fillId="0" borderId="0" xfId="0" applyFill="1" applyAlignment="1">
      <alignment horizontal="center"/>
    </xf>
    <xf numFmtId="10" fontId="0" fillId="0" borderId="0" xfId="21" applyNumberFormat="1" applyFont="1" applyAlignment="1">
      <alignment/>
    </xf>
    <xf numFmtId="10" fontId="0" fillId="0" borderId="0" xfId="21" applyNumberFormat="1" applyFont="1" applyAlignment="1">
      <alignment/>
    </xf>
    <xf numFmtId="43" fontId="0" fillId="0" borderId="0" xfId="15" applyFont="1" applyAlignment="1">
      <alignment/>
    </xf>
    <xf numFmtId="2" fontId="0" fillId="0" borderId="0" xfId="0" applyNumberFormat="1" applyAlignment="1">
      <alignment/>
    </xf>
    <xf numFmtId="173" fontId="0" fillId="0" borderId="0" xfId="17" applyNumberFormat="1" applyFont="1" applyAlignment="1">
      <alignment/>
    </xf>
    <xf numFmtId="43" fontId="0" fillId="0" borderId="0" xfId="0" applyNumberFormat="1" applyAlignment="1">
      <alignment/>
    </xf>
    <xf numFmtId="0" fontId="22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210" fontId="0" fillId="0" borderId="0" xfId="15" applyNumberFormat="1" applyFont="1" applyFill="1" applyBorder="1" applyAlignment="1" applyProtection="1">
      <alignment/>
      <protection/>
    </xf>
    <xf numFmtId="0" fontId="23" fillId="0" borderId="0" xfId="0" applyFont="1" applyAlignment="1">
      <alignment/>
    </xf>
    <xf numFmtId="0" fontId="23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3" fillId="0" borderId="0" xfId="0" applyFont="1" applyFill="1" applyAlignment="1">
      <alignment/>
    </xf>
    <xf numFmtId="38" fontId="23" fillId="0" borderId="0" xfId="0" applyNumberFormat="1" applyFont="1" applyAlignment="1">
      <alignment horizontal="center"/>
    </xf>
    <xf numFmtId="38" fontId="23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174" fontId="23" fillId="0" borderId="8" xfId="0" applyNumberFormat="1" applyFont="1" applyBorder="1" applyAlignment="1">
      <alignment horizontal="center"/>
    </xf>
    <xf numFmtId="37" fontId="23" fillId="0" borderId="0" xfId="0" applyNumberFormat="1" applyFont="1" applyAlignment="1">
      <alignment horizontal="center"/>
    </xf>
    <xf numFmtId="37" fontId="23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workbookViewId="0" topLeftCell="A23">
      <selection activeCell="J54" sqref="J54"/>
    </sheetView>
  </sheetViews>
  <sheetFormatPr defaultColWidth="10.28125" defaultRowHeight="12.75"/>
  <cols>
    <col min="1" max="1" width="7.140625" style="0" customWidth="1"/>
    <col min="4" max="4" width="3.8515625" style="0" customWidth="1"/>
    <col min="5" max="5" width="6.00390625" style="0" customWidth="1"/>
    <col min="6" max="6" width="13.8515625" style="0" customWidth="1"/>
    <col min="7" max="7" width="3.28125" style="0" customWidth="1"/>
    <col min="8" max="8" width="10.7109375" style="0" customWidth="1"/>
    <col min="9" max="9" width="2.421875" style="0" customWidth="1"/>
    <col min="10" max="10" width="15.28125" style="0" customWidth="1"/>
  </cols>
  <sheetData>
    <row r="1" spans="2:10" ht="12">
      <c r="B1" s="1"/>
      <c r="C1" s="1"/>
      <c r="D1" s="1"/>
      <c r="F1" s="1"/>
      <c r="J1" s="14"/>
    </row>
    <row r="2" spans="2:10" ht="12">
      <c r="B2" t="s">
        <v>549</v>
      </c>
      <c r="C2" s="1"/>
      <c r="D2" s="1"/>
      <c r="E2" s="1"/>
      <c r="F2" s="1"/>
      <c r="J2" t="s">
        <v>508</v>
      </c>
    </row>
    <row r="3" ht="12">
      <c r="B3" t="s">
        <v>548</v>
      </c>
    </row>
    <row r="4" spans="2:6" ht="12">
      <c r="B4" s="1"/>
      <c r="C4" s="1"/>
      <c r="D4" s="1"/>
      <c r="E4" s="1"/>
      <c r="F4" s="1"/>
    </row>
    <row r="5" spans="3:6" ht="18">
      <c r="C5" s="1"/>
      <c r="E5" s="204" t="s">
        <v>550</v>
      </c>
      <c r="F5" s="1"/>
    </row>
    <row r="6" spans="1:6" ht="12">
      <c r="A6" s="50"/>
      <c r="B6" s="1"/>
      <c r="C6" s="1"/>
      <c r="D6" s="1"/>
      <c r="E6" s="1"/>
      <c r="F6" s="1"/>
    </row>
    <row r="7" spans="1:8" ht="12">
      <c r="A7" s="50"/>
      <c r="B7" s="1"/>
      <c r="C7" s="1"/>
      <c r="D7" s="1"/>
      <c r="E7" s="1"/>
      <c r="F7" s="1"/>
      <c r="H7" s="197" t="s">
        <v>177</v>
      </c>
    </row>
    <row r="8" spans="2:8" ht="12.75">
      <c r="B8" s="141"/>
      <c r="C8" s="141"/>
      <c r="D8" s="141"/>
      <c r="E8" s="194" t="s">
        <v>178</v>
      </c>
      <c r="F8" s="141"/>
      <c r="H8" s="198" t="s">
        <v>179</v>
      </c>
    </row>
    <row r="9" spans="1:8" ht="12.75">
      <c r="A9" s="1" t="s">
        <v>180</v>
      </c>
      <c r="B9" s="1"/>
      <c r="C9" s="1"/>
      <c r="D9" s="1"/>
      <c r="E9" s="1"/>
      <c r="F9" s="1"/>
      <c r="H9" s="142" t="s">
        <v>181</v>
      </c>
    </row>
    <row r="10" spans="6:10" ht="12.75">
      <c r="F10" s="199" t="s">
        <v>182</v>
      </c>
      <c r="H10" s="142" t="s">
        <v>183</v>
      </c>
      <c r="J10" s="201" t="s">
        <v>184</v>
      </c>
    </row>
    <row r="11" spans="6:10" ht="12.75">
      <c r="F11" s="200">
        <v>39813</v>
      </c>
      <c r="H11" s="142"/>
      <c r="J11" s="202" t="s">
        <v>185</v>
      </c>
    </row>
    <row r="12" ht="12">
      <c r="A12" s="193" t="s">
        <v>186</v>
      </c>
    </row>
    <row r="13" spans="2:10" ht="12">
      <c r="B13" t="s">
        <v>296</v>
      </c>
      <c r="F13" s="143">
        <v>3059472</v>
      </c>
      <c r="H13" s="20">
        <v>550000</v>
      </c>
      <c r="J13" s="34">
        <f aca="true" t="shared" si="0" ref="J13:J23">H13+F13</f>
        <v>3609472</v>
      </c>
    </row>
    <row r="14" spans="2:10" ht="12">
      <c r="B14" t="s">
        <v>297</v>
      </c>
      <c r="F14" s="144">
        <v>6421349</v>
      </c>
      <c r="J14" s="34">
        <f t="shared" si="0"/>
        <v>6421349</v>
      </c>
    </row>
    <row r="15" spans="2:10" ht="12">
      <c r="B15" t="s">
        <v>124</v>
      </c>
      <c r="F15" s="144">
        <v>703891</v>
      </c>
      <c r="J15" s="34">
        <f t="shared" si="0"/>
        <v>703891</v>
      </c>
    </row>
    <row r="16" spans="2:10" ht="12">
      <c r="B16" t="s">
        <v>228</v>
      </c>
      <c r="F16" s="144">
        <v>313974</v>
      </c>
      <c r="J16" s="34">
        <f t="shared" si="0"/>
        <v>313974</v>
      </c>
    </row>
    <row r="17" spans="2:10" ht="12">
      <c r="B17" t="s">
        <v>524</v>
      </c>
      <c r="F17" s="144">
        <v>0</v>
      </c>
      <c r="J17" s="34">
        <f t="shared" si="0"/>
        <v>0</v>
      </c>
    </row>
    <row r="18" spans="2:10" ht="12">
      <c r="B18" t="s">
        <v>229</v>
      </c>
      <c r="F18" s="144">
        <v>2655</v>
      </c>
      <c r="J18" s="34">
        <f t="shared" si="0"/>
        <v>2655</v>
      </c>
    </row>
    <row r="19" spans="2:10" ht="12">
      <c r="B19" t="s">
        <v>77</v>
      </c>
      <c r="F19" s="144">
        <v>139</v>
      </c>
      <c r="J19" s="34">
        <f t="shared" si="0"/>
        <v>139</v>
      </c>
    </row>
    <row r="20" spans="2:10" ht="12">
      <c r="B20" t="s">
        <v>310</v>
      </c>
      <c r="F20" s="145">
        <v>67203</v>
      </c>
      <c r="H20" s="146"/>
      <c r="J20" s="147">
        <f t="shared" si="0"/>
        <v>67203</v>
      </c>
    </row>
    <row r="21" spans="6:10" ht="12">
      <c r="F21" s="144">
        <f>SUM(F13:F20)</f>
        <v>10568683</v>
      </c>
      <c r="H21" s="144">
        <f>SUM(H13:H20)</f>
        <v>550000</v>
      </c>
      <c r="J21" s="34">
        <f t="shared" si="0"/>
        <v>11118683</v>
      </c>
    </row>
    <row r="22" spans="2:10" ht="12.75">
      <c r="B22" t="s">
        <v>311</v>
      </c>
      <c r="D22" s="148"/>
      <c r="F22" s="145">
        <v>5274897</v>
      </c>
      <c r="H22" s="146"/>
      <c r="J22" s="147">
        <f t="shared" si="0"/>
        <v>5274897</v>
      </c>
    </row>
    <row r="23" spans="2:10" ht="12">
      <c r="B23" t="s">
        <v>478</v>
      </c>
      <c r="F23" s="145">
        <f>F21-F22</f>
        <v>5293786</v>
      </c>
      <c r="H23" s="145">
        <f>H21-H22</f>
        <v>550000</v>
      </c>
      <c r="J23" s="147">
        <f t="shared" si="0"/>
        <v>5843786</v>
      </c>
    </row>
    <row r="24" ht="12">
      <c r="F24" s="144"/>
    </row>
    <row r="25" spans="1:6" ht="12">
      <c r="A25" s="193" t="s">
        <v>525</v>
      </c>
      <c r="F25" s="144"/>
    </row>
    <row r="26" spans="2:10" ht="12">
      <c r="B26" t="s">
        <v>313</v>
      </c>
      <c r="F26" s="144">
        <v>0</v>
      </c>
      <c r="H26" s="149">
        <v>0</v>
      </c>
      <c r="J26" s="34">
        <f aca="true" t="shared" si="1" ref="J26:J33">H26+F26</f>
        <v>0</v>
      </c>
    </row>
    <row r="27" spans="2:10" ht="12.75">
      <c r="B27" t="s">
        <v>4</v>
      </c>
      <c r="F27" s="144">
        <v>969349</v>
      </c>
      <c r="H27" s="150"/>
      <c r="J27" s="34">
        <f t="shared" si="1"/>
        <v>969349</v>
      </c>
    </row>
    <row r="28" spans="2:10" ht="12.75">
      <c r="B28" t="s">
        <v>526</v>
      </c>
      <c r="F28" s="144">
        <v>0</v>
      </c>
      <c r="H28" s="150"/>
      <c r="J28" s="34">
        <f t="shared" si="1"/>
        <v>0</v>
      </c>
    </row>
    <row r="29" spans="2:10" ht="12.75">
      <c r="B29" t="s">
        <v>496</v>
      </c>
      <c r="F29" s="144">
        <v>367707</v>
      </c>
      <c r="H29" s="150"/>
      <c r="J29" s="34">
        <f t="shared" si="1"/>
        <v>367707</v>
      </c>
    </row>
    <row r="30" spans="2:10" ht="12">
      <c r="B30" t="s">
        <v>385</v>
      </c>
      <c r="F30" s="144">
        <v>40296</v>
      </c>
      <c r="J30" s="34">
        <f t="shared" si="1"/>
        <v>40296</v>
      </c>
    </row>
    <row r="31" spans="2:10" ht="12">
      <c r="B31" t="s">
        <v>545</v>
      </c>
      <c r="D31" s="131"/>
      <c r="F31" s="144">
        <v>440446</v>
      </c>
      <c r="J31" s="34">
        <f t="shared" si="1"/>
        <v>440446</v>
      </c>
    </row>
    <row r="32" spans="2:10" ht="12">
      <c r="B32" t="s">
        <v>527</v>
      </c>
      <c r="F32" s="145">
        <v>0</v>
      </c>
      <c r="H32" s="146"/>
      <c r="J32" s="147">
        <f t="shared" si="1"/>
        <v>0</v>
      </c>
    </row>
    <row r="33" spans="2:10" ht="12.75">
      <c r="B33" s="132" t="s">
        <v>528</v>
      </c>
      <c r="F33" s="145">
        <f>SUM(F26:F32)</f>
        <v>1817798</v>
      </c>
      <c r="H33" s="145">
        <f>SUM(H26:H32)</f>
        <v>0</v>
      </c>
      <c r="J33" s="147">
        <f t="shared" si="1"/>
        <v>1817798</v>
      </c>
    </row>
    <row r="34" ht="12">
      <c r="F34" s="144"/>
    </row>
    <row r="35" spans="6:10" ht="12.75" thickBot="1">
      <c r="F35" s="133">
        <f>F33+F23</f>
        <v>7111584</v>
      </c>
      <c r="H35" s="133">
        <f>H33+H23</f>
        <v>550000</v>
      </c>
      <c r="J35" s="134">
        <f>H35+F35</f>
        <v>7661584</v>
      </c>
    </row>
    <row r="36" ht="12.75" thickTop="1">
      <c r="F36" s="143"/>
    </row>
    <row r="37" ht="12">
      <c r="F37" s="143"/>
    </row>
    <row r="38" ht="12">
      <c r="F38" s="143"/>
    </row>
    <row r="39" ht="12">
      <c r="F39" s="143"/>
    </row>
    <row r="40" ht="12">
      <c r="F40" s="143"/>
    </row>
    <row r="41" ht="12">
      <c r="F41" s="143"/>
    </row>
    <row r="42" ht="12">
      <c r="F42" s="143"/>
    </row>
    <row r="43" ht="12">
      <c r="F43" s="143"/>
    </row>
    <row r="44" ht="12">
      <c r="F44" s="143"/>
    </row>
    <row r="45" ht="12">
      <c r="F45" s="143"/>
    </row>
    <row r="46" ht="12">
      <c r="F46" s="143"/>
    </row>
    <row r="47" ht="12">
      <c r="F47" s="143"/>
    </row>
    <row r="48" ht="12">
      <c r="F48" s="143"/>
    </row>
    <row r="49" ht="12">
      <c r="F49" s="143"/>
    </row>
    <row r="50" ht="12">
      <c r="F50" s="143"/>
    </row>
    <row r="51" ht="12">
      <c r="F51" s="143"/>
    </row>
    <row r="52" ht="12">
      <c r="F52" s="144"/>
    </row>
    <row r="53" spans="2:10" ht="12">
      <c r="B53" t="s">
        <v>549</v>
      </c>
      <c r="C53" s="205"/>
      <c r="D53" s="205"/>
      <c r="E53" s="205"/>
      <c r="F53" s="205"/>
      <c r="J53" t="s">
        <v>508</v>
      </c>
    </row>
    <row r="54" ht="12">
      <c r="B54" t="s">
        <v>548</v>
      </c>
    </row>
    <row r="56" ht="12">
      <c r="F56" s="144"/>
    </row>
    <row r="57" spans="1:6" s="191" customFormat="1" ht="12.75">
      <c r="A57" s="30"/>
      <c r="B57" s="190"/>
      <c r="C57" s="190"/>
      <c r="D57" s="190"/>
      <c r="E57" s="194" t="s">
        <v>529</v>
      </c>
      <c r="F57" s="190"/>
    </row>
    <row r="58" s="191" customFormat="1" ht="12"/>
    <row r="59" spans="1:6" s="191" customFormat="1" ht="12">
      <c r="A59" s="193" t="s">
        <v>530</v>
      </c>
      <c r="F59" s="192"/>
    </row>
    <row r="60" spans="2:10" ht="12">
      <c r="B60" t="s">
        <v>445</v>
      </c>
      <c r="F60" s="143">
        <v>91200</v>
      </c>
      <c r="J60" s="34">
        <f>H60+F60</f>
        <v>91200</v>
      </c>
    </row>
    <row r="61" spans="2:10" ht="12">
      <c r="B61" t="s">
        <v>209</v>
      </c>
      <c r="F61" s="144">
        <v>220653</v>
      </c>
      <c r="J61" s="34">
        <f>H61+F61</f>
        <v>220653</v>
      </c>
    </row>
    <row r="62" spans="2:10" ht="12">
      <c r="B62" t="s">
        <v>531</v>
      </c>
      <c r="F62" s="144">
        <v>0</v>
      </c>
      <c r="J62" s="34">
        <f>H62+F62</f>
        <v>0</v>
      </c>
    </row>
    <row r="63" spans="2:10" ht="12">
      <c r="B63" t="s">
        <v>538</v>
      </c>
      <c r="F63" s="145">
        <v>3190477</v>
      </c>
      <c r="H63" s="146"/>
      <c r="J63" s="147">
        <f>H63+F63</f>
        <v>3190477</v>
      </c>
    </row>
    <row r="64" spans="6:10" ht="12">
      <c r="F64" s="145">
        <f>SUM(F60:F63)</f>
        <v>3502330</v>
      </c>
      <c r="H64" s="145">
        <f>SUM(H60:H63)</f>
        <v>0</v>
      </c>
      <c r="J64" s="147">
        <f>H64+F64</f>
        <v>3502330</v>
      </c>
    </row>
    <row r="65" ht="12">
      <c r="F65" s="144"/>
    </row>
    <row r="66" spans="1:6" ht="12">
      <c r="A66" s="193" t="s">
        <v>434</v>
      </c>
      <c r="F66" s="144"/>
    </row>
    <row r="67" spans="1:10" ht="12">
      <c r="A67" s="195"/>
      <c r="B67" t="s">
        <v>206</v>
      </c>
      <c r="F67" s="144">
        <v>607000</v>
      </c>
      <c r="H67" s="149">
        <v>550000</v>
      </c>
      <c r="J67" s="34">
        <f aca="true" t="shared" si="2" ref="J67:J74">H67+F67</f>
        <v>1157000</v>
      </c>
    </row>
    <row r="68" spans="1:10" ht="12">
      <c r="A68" s="195"/>
      <c r="B68" t="s">
        <v>435</v>
      </c>
      <c r="F68" s="144">
        <v>70248</v>
      </c>
      <c r="J68" s="34">
        <f t="shared" si="2"/>
        <v>70248</v>
      </c>
    </row>
    <row r="69" spans="1:10" ht="12">
      <c r="A69" s="195"/>
      <c r="B69" t="s">
        <v>207</v>
      </c>
      <c r="F69" s="144">
        <v>530255</v>
      </c>
      <c r="H69" s="149"/>
      <c r="J69" s="34">
        <f t="shared" si="2"/>
        <v>530255</v>
      </c>
    </row>
    <row r="70" spans="1:10" ht="12">
      <c r="A70" s="195"/>
      <c r="B70" t="s">
        <v>392</v>
      </c>
      <c r="F70" s="144">
        <v>14044</v>
      </c>
      <c r="J70" s="34">
        <f t="shared" si="2"/>
        <v>14044</v>
      </c>
    </row>
    <row r="71" spans="1:10" ht="12">
      <c r="A71" s="195"/>
      <c r="B71" t="s">
        <v>436</v>
      </c>
      <c r="F71" s="144">
        <v>6138</v>
      </c>
      <c r="J71" s="34">
        <f t="shared" si="2"/>
        <v>6138</v>
      </c>
    </row>
    <row r="72" spans="1:10" ht="12">
      <c r="A72" s="195"/>
      <c r="B72" t="s">
        <v>225</v>
      </c>
      <c r="F72" s="144">
        <v>250558</v>
      </c>
      <c r="J72" s="34">
        <f t="shared" si="2"/>
        <v>250558</v>
      </c>
    </row>
    <row r="73" spans="1:10" ht="12">
      <c r="A73" s="195"/>
      <c r="B73" t="s">
        <v>401</v>
      </c>
      <c r="F73" s="145">
        <v>40025</v>
      </c>
      <c r="H73" s="146"/>
      <c r="J73" s="147">
        <f t="shared" si="2"/>
        <v>40025</v>
      </c>
    </row>
    <row r="74" spans="1:10" ht="12.75">
      <c r="A74" s="195"/>
      <c r="B74" s="132" t="s">
        <v>356</v>
      </c>
      <c r="F74" s="145">
        <f>SUM(F67:F73)</f>
        <v>1518268</v>
      </c>
      <c r="H74" s="145">
        <f>SUM(H67:H73)</f>
        <v>550000</v>
      </c>
      <c r="I74" s="131"/>
      <c r="J74" s="147">
        <f t="shared" si="2"/>
        <v>2068268</v>
      </c>
    </row>
    <row r="75" spans="1:6" ht="12">
      <c r="A75" s="195"/>
      <c r="F75" s="144"/>
    </row>
    <row r="76" ht="12">
      <c r="A76" s="193" t="s">
        <v>357</v>
      </c>
    </row>
    <row r="77" spans="1:10" ht="12">
      <c r="A77" s="193"/>
      <c r="B77" t="s">
        <v>358</v>
      </c>
      <c r="F77" s="144">
        <v>826231</v>
      </c>
      <c r="I77" s="103"/>
      <c r="J77" s="34">
        <f>H77+F77</f>
        <v>826231</v>
      </c>
    </row>
    <row r="78" spans="1:10" ht="12">
      <c r="A78" s="193"/>
      <c r="B78" t="s">
        <v>359</v>
      </c>
      <c r="F78" s="144">
        <v>4957</v>
      </c>
      <c r="I78" s="103"/>
      <c r="J78" s="34">
        <f>H78+F78</f>
        <v>4957</v>
      </c>
    </row>
    <row r="79" spans="1:12" s="72" customFormat="1" ht="12">
      <c r="A79" s="196"/>
      <c r="B79" t="s">
        <v>360</v>
      </c>
      <c r="C79"/>
      <c r="D79"/>
      <c r="E79"/>
      <c r="F79" s="144">
        <v>19813</v>
      </c>
      <c r="G79"/>
      <c r="H79"/>
      <c r="I79" s="103"/>
      <c r="J79" s="34">
        <f>H79+F79</f>
        <v>19813</v>
      </c>
      <c r="L79" s="40"/>
    </row>
    <row r="80" spans="1:10" ht="12">
      <c r="A80" s="193"/>
      <c r="B80" t="s">
        <v>361</v>
      </c>
      <c r="F80" s="151">
        <f>SUM(F77:F79)</f>
        <v>851001</v>
      </c>
      <c r="H80" s="151">
        <f>SUM(H77:H79)</f>
        <v>0</v>
      </c>
      <c r="J80" s="152">
        <f>H80+F80</f>
        <v>851001</v>
      </c>
    </row>
    <row r="81" ht="12">
      <c r="A81" s="195"/>
    </row>
    <row r="82" spans="1:6" ht="12">
      <c r="A82" s="193" t="s">
        <v>521</v>
      </c>
      <c r="F82" s="144"/>
    </row>
    <row r="83" spans="1:10" ht="12.75">
      <c r="A83" s="195"/>
      <c r="B83" t="s">
        <v>30</v>
      </c>
      <c r="F83" s="145">
        <v>1135035</v>
      </c>
      <c r="H83" s="153"/>
      <c r="J83" s="147">
        <f>H83+F83</f>
        <v>1135035</v>
      </c>
    </row>
    <row r="84" spans="1:6" ht="12">
      <c r="A84" s="195"/>
      <c r="F84" s="144"/>
    </row>
    <row r="85" spans="1:6" ht="12">
      <c r="A85" s="193" t="s">
        <v>522</v>
      </c>
      <c r="F85" s="144"/>
    </row>
    <row r="86" spans="2:10" ht="12">
      <c r="B86" t="s">
        <v>379</v>
      </c>
      <c r="F86" s="144">
        <v>0</v>
      </c>
      <c r="J86" s="34">
        <f>H86+F86</f>
        <v>0</v>
      </c>
    </row>
    <row r="87" spans="2:10" ht="12">
      <c r="B87" t="s">
        <v>326</v>
      </c>
      <c r="F87" s="144">
        <v>171975</v>
      </c>
      <c r="J87" s="34">
        <f>H87+F87</f>
        <v>171975</v>
      </c>
    </row>
    <row r="88" spans="2:10" ht="12">
      <c r="B88" t="s">
        <v>326</v>
      </c>
      <c r="F88" s="145">
        <v>-67025</v>
      </c>
      <c r="H88" s="146"/>
      <c r="J88" s="147">
        <f>H88+F88</f>
        <v>-67025</v>
      </c>
    </row>
    <row r="89" spans="2:10" ht="12">
      <c r="B89" t="s">
        <v>523</v>
      </c>
      <c r="F89" s="145">
        <f>SUM(F86:F88)</f>
        <v>104950</v>
      </c>
      <c r="H89" s="145">
        <f>SUM(H86:H88)</f>
        <v>0</v>
      </c>
      <c r="J89" s="147">
        <f>H89+F89</f>
        <v>104950</v>
      </c>
    </row>
    <row r="90" ht="12">
      <c r="F90" s="144"/>
    </row>
    <row r="91" spans="6:10" ht="12.75" thickBot="1">
      <c r="F91" s="133">
        <f>F64+F80+F74+F83+F89</f>
        <v>7111584</v>
      </c>
      <c r="H91" s="133">
        <f>H64+H74+H80+H89</f>
        <v>550000</v>
      </c>
      <c r="J91" s="134">
        <f>H91+F91</f>
        <v>7661584</v>
      </c>
    </row>
    <row r="92" spans="4:6" ht="12.75" thickTop="1">
      <c r="D92" s="131"/>
      <c r="F92" s="144"/>
    </row>
    <row r="95" ht="12">
      <c r="F95" s="154"/>
    </row>
  </sheetData>
  <printOptions/>
  <pageMargins left="0.75" right="0.4166666666666667" top="1" bottom="1" header="0.5" footer="0.5"/>
  <pageSetup orientation="portrait" paperSize="9"/>
  <headerFooter alignWithMargins="0"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27"/>
  <sheetViews>
    <sheetView workbookViewId="0" topLeftCell="A1">
      <selection activeCell="E32" sqref="E32"/>
    </sheetView>
  </sheetViews>
  <sheetFormatPr defaultColWidth="8.8515625" defaultRowHeight="12.75"/>
  <cols>
    <col min="4" max="4" width="1.28515625" style="0" customWidth="1"/>
    <col min="5" max="5" width="4.8515625" style="0" customWidth="1"/>
    <col min="6" max="6" width="11.8515625" style="0" customWidth="1"/>
    <col min="7" max="7" width="2.00390625" style="0" customWidth="1"/>
    <col min="8" max="8" width="10.7109375" style="0" bestFit="1" customWidth="1"/>
    <col min="9" max="9" width="1.7109375" style="0" customWidth="1"/>
    <col min="10" max="10" width="10.140625" style="0" bestFit="1" customWidth="1"/>
  </cols>
  <sheetData>
    <row r="4" spans="2:10" ht="12.75">
      <c r="B4" s="65" t="s">
        <v>368</v>
      </c>
      <c r="J4" t="s">
        <v>537</v>
      </c>
    </row>
    <row r="5" spans="2:10" ht="12">
      <c r="B5" s="209" t="s">
        <v>10</v>
      </c>
      <c r="J5" t="s">
        <v>415</v>
      </c>
    </row>
    <row r="7" spans="2:10" ht="12">
      <c r="B7" s="1"/>
      <c r="C7" s="1"/>
      <c r="D7" s="1"/>
      <c r="E7" s="1"/>
      <c r="F7" s="1"/>
      <c r="G7" s="1" t="s">
        <v>235</v>
      </c>
      <c r="H7" s="1"/>
      <c r="I7" s="1"/>
      <c r="J7" s="1"/>
    </row>
    <row r="8" spans="2:10" ht="12">
      <c r="B8" s="1"/>
      <c r="C8" s="1"/>
      <c r="D8" s="1"/>
      <c r="E8" s="1"/>
      <c r="F8" s="1"/>
      <c r="G8" s="1" t="s">
        <v>299</v>
      </c>
      <c r="H8" s="1"/>
      <c r="I8" s="1"/>
      <c r="J8" s="1"/>
    </row>
    <row r="9" spans="2:10" ht="12">
      <c r="B9" s="1"/>
      <c r="C9" s="1"/>
      <c r="D9" s="1"/>
      <c r="E9" s="1"/>
      <c r="F9" s="1"/>
      <c r="G9" s="1"/>
      <c r="H9" s="1"/>
      <c r="I9" s="1"/>
      <c r="J9" s="1"/>
    </row>
    <row r="10" spans="6:10" ht="12">
      <c r="F10" s="1"/>
      <c r="G10" s="1"/>
      <c r="H10" s="1"/>
      <c r="I10" s="1"/>
      <c r="J10" s="1" t="s">
        <v>113</v>
      </c>
    </row>
    <row r="11" spans="6:10" ht="12">
      <c r="F11" s="1" t="s">
        <v>37</v>
      </c>
      <c r="G11" s="1"/>
      <c r="H11" s="1"/>
      <c r="I11" s="1"/>
      <c r="J11" s="1" t="s">
        <v>37</v>
      </c>
    </row>
    <row r="12" spans="6:10" ht="12">
      <c r="F12" s="1" t="s">
        <v>38</v>
      </c>
      <c r="G12" s="1"/>
      <c r="H12" s="1" t="s">
        <v>112</v>
      </c>
      <c r="I12" s="1"/>
      <c r="J12" s="1" t="s">
        <v>111</v>
      </c>
    </row>
    <row r="13" spans="6:10" ht="12">
      <c r="F13" s="2">
        <v>39082</v>
      </c>
      <c r="G13" s="1"/>
      <c r="H13" s="1" t="s">
        <v>557</v>
      </c>
      <c r="I13" s="1"/>
      <c r="J13" s="2">
        <v>39082</v>
      </c>
    </row>
    <row r="14" spans="6:10" ht="12">
      <c r="F14" s="6"/>
      <c r="J14" s="6"/>
    </row>
    <row r="15" spans="1:11" ht="12">
      <c r="A15" t="s">
        <v>414</v>
      </c>
      <c r="E15" t="s">
        <v>469</v>
      </c>
      <c r="F15" s="3">
        <v>53977</v>
      </c>
      <c r="G15" s="3"/>
      <c r="H15" s="3">
        <f>'Sched 1-B'!H19</f>
        <v>0</v>
      </c>
      <c r="I15" s="3"/>
      <c r="J15" s="3">
        <f>F15+H15</f>
        <v>53977</v>
      </c>
      <c r="K15" s="3"/>
    </row>
    <row r="16" spans="1:11" ht="12">
      <c r="A16" t="s">
        <v>351</v>
      </c>
      <c r="E16" t="s">
        <v>467</v>
      </c>
      <c r="F16" s="3">
        <v>22287</v>
      </c>
      <c r="G16" s="3"/>
      <c r="H16" s="3">
        <f aca="true" t="shared" si="0" ref="H16:H22">0.05*F16</f>
        <v>1114.3500000000001</v>
      </c>
      <c r="I16" s="3"/>
      <c r="J16" s="3">
        <f aca="true" t="shared" si="1" ref="J16:J23">F16+H16</f>
        <v>23401.35</v>
      </c>
      <c r="K16" s="3"/>
    </row>
    <row r="17" spans="1:11" ht="12">
      <c r="A17" t="s">
        <v>419</v>
      </c>
      <c r="E17" t="s">
        <v>467</v>
      </c>
      <c r="F17" s="3">
        <v>144736</v>
      </c>
      <c r="G17" s="3"/>
      <c r="H17" s="3">
        <f>-80000</f>
        <v>-80000</v>
      </c>
      <c r="I17" s="3"/>
      <c r="J17" s="3">
        <f t="shared" si="1"/>
        <v>64736</v>
      </c>
      <c r="K17" s="3"/>
    </row>
    <row r="18" spans="1:11" ht="12">
      <c r="A18" t="s">
        <v>420</v>
      </c>
      <c r="E18" t="s">
        <v>470</v>
      </c>
      <c r="F18" s="3">
        <v>52908</v>
      </c>
      <c r="G18" s="3"/>
      <c r="H18" s="3">
        <f t="shared" si="0"/>
        <v>2645.4</v>
      </c>
      <c r="I18" s="3"/>
      <c r="J18" s="3">
        <f t="shared" si="1"/>
        <v>55553.4</v>
      </c>
      <c r="K18" s="3"/>
    </row>
    <row r="19" spans="1:11" ht="12">
      <c r="A19" t="s">
        <v>421</v>
      </c>
      <c r="E19" t="s">
        <v>470</v>
      </c>
      <c r="F19" s="3">
        <v>103595</v>
      </c>
      <c r="G19" s="3"/>
      <c r="H19" s="3">
        <f t="shared" si="0"/>
        <v>5179.75</v>
      </c>
      <c r="I19" s="3"/>
      <c r="J19" s="3">
        <f t="shared" si="1"/>
        <v>108774.75</v>
      </c>
      <c r="K19" s="3"/>
    </row>
    <row r="20" spans="1:11" ht="12">
      <c r="A20" t="s">
        <v>504</v>
      </c>
      <c r="E20" t="s">
        <v>467</v>
      </c>
      <c r="F20" s="3">
        <v>181674</v>
      </c>
      <c r="G20" s="3"/>
      <c r="H20" s="3">
        <f>0.05*F20</f>
        <v>9083.7</v>
      </c>
      <c r="I20" s="3"/>
      <c r="J20" s="3">
        <f t="shared" si="1"/>
        <v>190757.7</v>
      </c>
      <c r="K20" s="3"/>
    </row>
    <row r="21" spans="1:11" ht="12">
      <c r="A21" t="s">
        <v>505</v>
      </c>
      <c r="E21" t="s">
        <v>468</v>
      </c>
      <c r="F21" s="3">
        <v>47679</v>
      </c>
      <c r="G21" s="3"/>
      <c r="H21" s="3">
        <f t="shared" si="0"/>
        <v>2383.9500000000003</v>
      </c>
      <c r="I21" s="3"/>
      <c r="J21" s="3">
        <f t="shared" si="1"/>
        <v>50062.95</v>
      </c>
      <c r="K21" s="3"/>
    </row>
    <row r="22" spans="1:11" ht="12">
      <c r="A22" t="s">
        <v>305</v>
      </c>
      <c r="E22" t="s">
        <v>467</v>
      </c>
      <c r="F22" s="3">
        <v>3751</v>
      </c>
      <c r="G22" s="3"/>
      <c r="H22" s="3">
        <f t="shared" si="0"/>
        <v>187.55</v>
      </c>
      <c r="I22" s="3"/>
      <c r="J22" s="3">
        <f t="shared" si="1"/>
        <v>3938.55</v>
      </c>
      <c r="K22" s="3"/>
    </row>
    <row r="23" spans="1:11" ht="12">
      <c r="A23" t="s">
        <v>306</v>
      </c>
      <c r="E23" t="s">
        <v>467</v>
      </c>
      <c r="F23" s="4">
        <v>12023</v>
      </c>
      <c r="G23" s="3"/>
      <c r="H23" s="4">
        <f>0.05*F23</f>
        <v>601.15</v>
      </c>
      <c r="I23" s="12"/>
      <c r="J23" s="4">
        <f t="shared" si="1"/>
        <v>12624.15</v>
      </c>
      <c r="K23" s="3"/>
    </row>
    <row r="24" spans="6:11" ht="12">
      <c r="F24" s="3"/>
      <c r="G24" s="3"/>
      <c r="H24" s="3"/>
      <c r="I24" s="3"/>
      <c r="J24" s="3"/>
      <c r="K24" s="3"/>
    </row>
    <row r="25" spans="2:11" ht="12.75" thickBot="1">
      <c r="B25" t="s">
        <v>31</v>
      </c>
      <c r="C25" s="72"/>
      <c r="F25" s="5">
        <f>SUM(F15:F23)</f>
        <v>622630</v>
      </c>
      <c r="G25" s="3"/>
      <c r="H25" s="5">
        <f>SUM(H15:H23)</f>
        <v>-58804.15</v>
      </c>
      <c r="I25" s="12"/>
      <c r="J25" s="5">
        <f>SUM(J15:J23)</f>
        <v>563825.8500000001</v>
      </c>
      <c r="K25" s="3"/>
    </row>
    <row r="26" spans="6:11" ht="12.75" thickTop="1">
      <c r="F26" s="3"/>
      <c r="G26" s="3"/>
      <c r="H26" s="3"/>
      <c r="I26" s="3"/>
      <c r="J26" s="3"/>
      <c r="K26" s="3"/>
    </row>
    <row r="27" spans="6:11" ht="12">
      <c r="F27" s="3"/>
      <c r="G27" s="3"/>
      <c r="H27" s="3"/>
      <c r="I27" s="3"/>
      <c r="J27" s="3"/>
      <c r="K27" s="3"/>
    </row>
  </sheetData>
  <printOptions/>
  <pageMargins left="1.29" right="0.75" top="1" bottom="1" header="0.5" footer="0.5"/>
  <pageSetup fitToHeight="1" fitToWidth="1"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B6:H25"/>
  <sheetViews>
    <sheetView workbookViewId="0" topLeftCell="A1">
      <selection activeCell="I23" sqref="I23"/>
    </sheetView>
  </sheetViews>
  <sheetFormatPr defaultColWidth="11.57421875" defaultRowHeight="12.75"/>
  <cols>
    <col min="1" max="1" width="3.140625" style="0" customWidth="1"/>
    <col min="2" max="2" width="14.7109375" style="0" customWidth="1"/>
    <col min="3" max="3" width="4.8515625" style="0" customWidth="1"/>
    <col min="4" max="4" width="14.8515625" style="0" customWidth="1"/>
    <col min="5" max="5" width="7.8515625" style="0" customWidth="1"/>
    <col min="6" max="6" width="12.28125" style="0" customWidth="1"/>
    <col min="7" max="7" width="5.00390625" style="0" customWidth="1"/>
    <col min="8" max="8" width="8.7109375" style="0" customWidth="1"/>
  </cols>
  <sheetData>
    <row r="6" spans="2:8" ht="12.75">
      <c r="B6" s="65" t="s">
        <v>368</v>
      </c>
      <c r="H6" s="63" t="s">
        <v>537</v>
      </c>
    </row>
    <row r="7" spans="2:8" ht="12">
      <c r="B7" s="209" t="s">
        <v>10</v>
      </c>
      <c r="H7" s="63" t="s">
        <v>417</v>
      </c>
    </row>
    <row r="9" ht="12">
      <c r="D9" t="s">
        <v>463</v>
      </c>
    </row>
    <row r="11" ht="12">
      <c r="D11" t="s">
        <v>291</v>
      </c>
    </row>
    <row r="14" spans="4:6" ht="12">
      <c r="D14" s="1" t="s">
        <v>464</v>
      </c>
      <c r="F14" s="1" t="s">
        <v>487</v>
      </c>
    </row>
    <row r="15" spans="4:8" ht="12">
      <c r="D15" s="1" t="s">
        <v>488</v>
      </c>
      <c r="F15" s="1" t="s">
        <v>489</v>
      </c>
      <c r="H15" s="1" t="s">
        <v>490</v>
      </c>
    </row>
    <row r="16" spans="4:8" ht="12">
      <c r="D16" s="1" t="s">
        <v>455</v>
      </c>
      <c r="F16" s="1" t="s">
        <v>158</v>
      </c>
      <c r="H16" s="1" t="s">
        <v>159</v>
      </c>
    </row>
    <row r="19" spans="2:8" ht="12">
      <c r="B19" t="s">
        <v>335</v>
      </c>
      <c r="D19" s="7">
        <v>170586</v>
      </c>
      <c r="E19" s="7"/>
      <c r="F19" s="7">
        <f>D19*0.2</f>
        <v>34117.200000000004</v>
      </c>
      <c r="H19" s="35">
        <f>F19/50000</f>
        <v>0.6823440000000001</v>
      </c>
    </row>
    <row r="20" spans="2:8" ht="12">
      <c r="B20" t="s">
        <v>336</v>
      </c>
      <c r="D20" s="7">
        <f>23840+12289</f>
        <v>36129</v>
      </c>
      <c r="E20" s="7"/>
      <c r="F20" s="7">
        <f>D20*0.2</f>
        <v>7225.8</v>
      </c>
      <c r="H20" s="35">
        <f>F20/50000</f>
        <v>0.144516</v>
      </c>
    </row>
    <row r="21" spans="2:8" ht="12">
      <c r="B21" t="s">
        <v>554</v>
      </c>
      <c r="D21" s="7">
        <v>94391</v>
      </c>
      <c r="E21" s="7"/>
      <c r="F21" s="7">
        <f>D21*0.1</f>
        <v>9439.1</v>
      </c>
      <c r="H21" s="35">
        <f>F21/50000</f>
        <v>0.188782</v>
      </c>
    </row>
    <row r="22" spans="2:8" ht="12">
      <c r="B22" t="s">
        <v>237</v>
      </c>
      <c r="D22" s="7">
        <v>37199</v>
      </c>
      <c r="E22" s="7"/>
      <c r="F22" s="7">
        <f>D22*0.2</f>
        <v>7439.8</v>
      </c>
      <c r="H22" s="35">
        <f>F22/50000</f>
        <v>0.148796</v>
      </c>
    </row>
    <row r="23" spans="2:8" s="210" customFormat="1" ht="12">
      <c r="B23" s="212"/>
      <c r="C23" s="211"/>
      <c r="D23" s="188"/>
      <c r="E23" s="188"/>
      <c r="F23" s="188"/>
      <c r="G23" s="211"/>
      <c r="H23" s="35"/>
    </row>
    <row r="24" spans="4:8" ht="12">
      <c r="D24" s="7"/>
      <c r="E24" s="7"/>
      <c r="F24" s="7"/>
      <c r="H24" s="35"/>
    </row>
    <row r="25" spans="3:8" ht="12">
      <c r="C25" t="s">
        <v>31</v>
      </c>
      <c r="D25" s="7">
        <f>SUM(D19:D24)</f>
        <v>338305</v>
      </c>
      <c r="E25" s="7"/>
      <c r="F25" s="7">
        <f>SUM(F19:F24)</f>
        <v>58221.90000000001</v>
      </c>
      <c r="H25" s="35">
        <f>SUM(H19:H24)</f>
        <v>1.164438</v>
      </c>
    </row>
  </sheetData>
  <printOptions/>
  <pageMargins left="1.2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26"/>
  <sheetViews>
    <sheetView workbookViewId="0" topLeftCell="A1">
      <selection activeCell="B4" sqref="B4"/>
    </sheetView>
  </sheetViews>
  <sheetFormatPr defaultColWidth="8.8515625" defaultRowHeight="12.75"/>
  <cols>
    <col min="1" max="1" width="5.28125" style="0" customWidth="1"/>
    <col min="3" max="3" width="2.7109375" style="0" customWidth="1"/>
    <col min="4" max="4" width="2.8515625" style="0" customWidth="1"/>
    <col min="5" max="5" width="10.140625" style="0" bestFit="1" customWidth="1"/>
    <col min="6" max="6" width="3.140625" style="0" customWidth="1"/>
    <col min="7" max="7" width="7.8515625" style="0" bestFit="1" customWidth="1"/>
    <col min="8" max="8" width="3.140625" style="0" customWidth="1"/>
    <col min="9" max="9" width="10.421875" style="0" customWidth="1"/>
    <col min="10" max="10" width="11.28125" style="0" customWidth="1"/>
    <col min="11" max="11" width="10.140625" style="0" customWidth="1"/>
    <col min="12" max="12" width="9.7109375" style="0" bestFit="1" customWidth="1"/>
    <col min="13" max="13" width="11.140625" style="0" bestFit="1" customWidth="1"/>
    <col min="14" max="14" width="9.28125" style="0" bestFit="1" customWidth="1"/>
    <col min="15" max="17" width="8.421875" style="0" bestFit="1" customWidth="1"/>
    <col min="18" max="18" width="9.140625" style="0" bestFit="1" customWidth="1"/>
    <col min="19" max="21" width="9.28125" style="0" bestFit="1" customWidth="1"/>
  </cols>
  <sheetData>
    <row r="3" spans="2:11" ht="12.75">
      <c r="B3" s="65" t="s">
        <v>368</v>
      </c>
      <c r="C3" s="88"/>
      <c r="D3" s="88"/>
      <c r="E3" s="88"/>
      <c r="F3" s="88"/>
      <c r="G3" s="88"/>
      <c r="H3" s="88"/>
      <c r="I3" s="88"/>
      <c r="K3" s="63" t="s">
        <v>537</v>
      </c>
    </row>
    <row r="4" spans="2:11" ht="12">
      <c r="B4" s="209" t="s">
        <v>10</v>
      </c>
      <c r="K4" s="63" t="s">
        <v>50</v>
      </c>
    </row>
    <row r="5" spans="3:9" ht="12">
      <c r="C5" s="88"/>
      <c r="D5" s="88"/>
      <c r="E5" s="88"/>
      <c r="F5" s="88" t="s">
        <v>52</v>
      </c>
      <c r="G5" s="88"/>
      <c r="H5" s="88"/>
      <c r="I5" s="88"/>
    </row>
    <row r="6" spans="3:9" ht="12">
      <c r="C6" s="88"/>
      <c r="D6" s="88"/>
      <c r="E6" s="88"/>
      <c r="F6" s="88" t="s">
        <v>7</v>
      </c>
      <c r="G6" s="88"/>
      <c r="H6" s="88"/>
      <c r="I6" s="88"/>
    </row>
    <row r="8" ht="12">
      <c r="I8" s="3" t="s">
        <v>486</v>
      </c>
    </row>
    <row r="9" ht="12">
      <c r="I9" s="3" t="s">
        <v>53</v>
      </c>
    </row>
    <row r="10" spans="5:11" ht="12">
      <c r="E10" t="s">
        <v>322</v>
      </c>
      <c r="G10" s="48" t="s">
        <v>246</v>
      </c>
      <c r="I10" s="3" t="s">
        <v>426</v>
      </c>
      <c r="J10" s="1" t="s">
        <v>457</v>
      </c>
      <c r="K10" t="s">
        <v>564</v>
      </c>
    </row>
    <row r="11" spans="5:11" ht="12">
      <c r="E11" t="s">
        <v>218</v>
      </c>
      <c r="G11" s="48" t="s">
        <v>247</v>
      </c>
      <c r="I11" s="3" t="s">
        <v>247</v>
      </c>
      <c r="J11" s="1" t="s">
        <v>458</v>
      </c>
      <c r="K11" t="s">
        <v>565</v>
      </c>
    </row>
    <row r="13" spans="2:11" ht="12">
      <c r="B13" t="s">
        <v>265</v>
      </c>
      <c r="E13" s="138">
        <v>28196</v>
      </c>
      <c r="G13" s="10">
        <v>14.38</v>
      </c>
      <c r="I13" s="3">
        <f>'MONTHLY SALES'!K12</f>
        <v>405458.48000000004</v>
      </c>
      <c r="J13" s="9">
        <v>288284.43</v>
      </c>
      <c r="K13" s="9">
        <f>I13-J13</f>
        <v>117174.05000000005</v>
      </c>
    </row>
    <row r="14" spans="2:11" ht="12">
      <c r="B14" t="s">
        <v>280</v>
      </c>
      <c r="E14" s="55">
        <v>26490.07</v>
      </c>
      <c r="G14" s="10">
        <f>G13</f>
        <v>14.38</v>
      </c>
      <c r="I14" s="3">
        <f>'MONTHLY SALES'!K13</f>
        <v>380927.21</v>
      </c>
      <c r="J14" s="9">
        <v>302365.47</v>
      </c>
      <c r="K14" s="9">
        <f aca="true" t="shared" si="0" ref="K14:K24">I14-J14</f>
        <v>78561.74000000005</v>
      </c>
    </row>
    <row r="15" spans="2:11" ht="12">
      <c r="B15" t="s">
        <v>506</v>
      </c>
      <c r="E15" s="138">
        <v>21324.03</v>
      </c>
      <c r="G15" s="10">
        <f aca="true" t="shared" si="1" ref="G15:G22">G14</f>
        <v>14.38</v>
      </c>
      <c r="I15" s="3">
        <f>'MONTHLY SALES'!K14</f>
        <v>306640.76</v>
      </c>
      <c r="J15" s="9">
        <v>293345.75</v>
      </c>
      <c r="K15" s="9">
        <f t="shared" si="0"/>
        <v>13295.01000000001</v>
      </c>
    </row>
    <row r="16" spans="2:11" ht="12">
      <c r="B16" t="s">
        <v>409</v>
      </c>
      <c r="E16" s="138">
        <v>11643.92</v>
      </c>
      <c r="G16" s="10">
        <f t="shared" si="1"/>
        <v>14.38</v>
      </c>
      <c r="I16" s="3">
        <f>'MONTHLY SALES'!K15</f>
        <v>167439.56999999998</v>
      </c>
      <c r="J16" s="9">
        <v>195097.53</v>
      </c>
      <c r="K16" s="9">
        <f t="shared" si="0"/>
        <v>-27657.96000000002</v>
      </c>
    </row>
    <row r="17" spans="2:11" ht="12">
      <c r="B17" t="s">
        <v>255</v>
      </c>
      <c r="E17" s="138">
        <v>5467.34</v>
      </c>
      <c r="G17" s="10">
        <f t="shared" si="1"/>
        <v>14.38</v>
      </c>
      <c r="I17" s="3">
        <f>'MONTHLY SALES'!K16</f>
        <v>78620.34</v>
      </c>
      <c r="J17" s="9">
        <v>188055.52</v>
      </c>
      <c r="K17" s="9">
        <f t="shared" si="0"/>
        <v>-109435.18</v>
      </c>
    </row>
    <row r="18" spans="2:11" ht="12">
      <c r="B18" t="s">
        <v>256</v>
      </c>
      <c r="E18" s="138">
        <v>1238.9</v>
      </c>
      <c r="G18" s="10">
        <f t="shared" si="1"/>
        <v>14.38</v>
      </c>
      <c r="I18" s="3">
        <f>'MONTHLY SALES'!K17</f>
        <v>17815.38</v>
      </c>
      <c r="J18" s="9">
        <v>98637.54</v>
      </c>
      <c r="K18" s="9">
        <f t="shared" si="0"/>
        <v>-80822.15999999999</v>
      </c>
    </row>
    <row r="19" spans="2:11" ht="12">
      <c r="B19" t="s">
        <v>257</v>
      </c>
      <c r="E19" s="138">
        <v>697.33</v>
      </c>
      <c r="G19" s="10">
        <f t="shared" si="1"/>
        <v>14.38</v>
      </c>
      <c r="I19" s="3">
        <f>'MONTHLY SALES'!K18</f>
        <v>10027.18</v>
      </c>
      <c r="J19" s="9">
        <v>88341.78</v>
      </c>
      <c r="K19" s="9">
        <f t="shared" si="0"/>
        <v>-78314.6</v>
      </c>
    </row>
    <row r="20" spans="2:11" ht="12">
      <c r="B20" t="s">
        <v>258</v>
      </c>
      <c r="E20" s="138">
        <v>729.89</v>
      </c>
      <c r="G20" s="10">
        <f t="shared" si="1"/>
        <v>14.38</v>
      </c>
      <c r="I20" s="3">
        <f>'MONTHLY SALES'!K19</f>
        <v>10495.81</v>
      </c>
      <c r="J20" s="9">
        <v>81920.22</v>
      </c>
      <c r="K20" s="9">
        <f t="shared" si="0"/>
        <v>-71424.41</v>
      </c>
    </row>
    <row r="21" spans="2:11" ht="12">
      <c r="B21" t="s">
        <v>240</v>
      </c>
      <c r="E21" s="138">
        <v>1434.86</v>
      </c>
      <c r="G21" s="10">
        <f t="shared" si="1"/>
        <v>14.38</v>
      </c>
      <c r="I21" s="3">
        <f>'MONTHLY SALES'!K20</f>
        <v>20633.16</v>
      </c>
      <c r="J21" s="9">
        <v>113695.33</v>
      </c>
      <c r="K21" s="9">
        <f t="shared" si="0"/>
        <v>-93062.17</v>
      </c>
    </row>
    <row r="22" spans="2:11" ht="12">
      <c r="B22" t="s">
        <v>279</v>
      </c>
      <c r="E22" s="138">
        <v>8172.41</v>
      </c>
      <c r="G22" s="10">
        <f t="shared" si="1"/>
        <v>14.38</v>
      </c>
      <c r="I22" s="3">
        <f>'MONTHLY SALES'!K21</f>
        <v>117519.26</v>
      </c>
      <c r="J22" s="9">
        <v>171188.04</v>
      </c>
      <c r="K22" s="9">
        <f t="shared" si="0"/>
        <v>-53668.78000000001</v>
      </c>
    </row>
    <row r="23" spans="2:11" ht="12">
      <c r="B23" t="s">
        <v>365</v>
      </c>
      <c r="E23" s="138">
        <v>13677.95</v>
      </c>
      <c r="G23" s="48">
        <v>19.81</v>
      </c>
      <c r="I23" s="3">
        <f>'MONTHLY SALES'!K22</f>
        <v>270960.18999999994</v>
      </c>
      <c r="J23" s="9">
        <v>282449.82</v>
      </c>
      <c r="K23" s="9">
        <f t="shared" si="0"/>
        <v>-11489.630000000063</v>
      </c>
    </row>
    <row r="24" spans="2:11" ht="12">
      <c r="B24" t="s">
        <v>366</v>
      </c>
      <c r="E24" s="138">
        <v>24966.74</v>
      </c>
      <c r="G24" s="48">
        <f>G23</f>
        <v>19.81</v>
      </c>
      <c r="I24" s="3">
        <f>'MONTHLY SALES'!K23</f>
        <v>494591.12</v>
      </c>
      <c r="J24" s="9">
        <v>418734.05</v>
      </c>
      <c r="K24" s="9">
        <f t="shared" si="0"/>
        <v>75857.07</v>
      </c>
    </row>
    <row r="26" spans="5:11" ht="12">
      <c r="E26" s="3">
        <f>SUM(E13:E25)</f>
        <v>144039.44</v>
      </c>
      <c r="I26" s="3">
        <f>SUM(I13:I24)</f>
        <v>2281128.46</v>
      </c>
      <c r="J26" s="9">
        <f>SUM(J13:J24)</f>
        <v>2522115.48</v>
      </c>
      <c r="K26" s="9">
        <f>SUM(K13:K24)</f>
        <v>-240987.01999999996</v>
      </c>
    </row>
  </sheetData>
  <printOptions/>
  <pageMargins left="1.01" right="0.75" top="1" bottom="1" header="0.5" footer="0.5"/>
  <pageSetup fitToHeight="1" fitToWidth="1"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21"/>
  <sheetViews>
    <sheetView workbookViewId="0" topLeftCell="A1">
      <selection activeCell="B5" sqref="B5"/>
    </sheetView>
  </sheetViews>
  <sheetFormatPr defaultColWidth="8.8515625" defaultRowHeight="12.75"/>
  <cols>
    <col min="1" max="1" width="4.7109375" style="0" customWidth="1"/>
    <col min="2" max="2" width="5.00390625" style="0" customWidth="1"/>
    <col min="3" max="3" width="5.7109375" style="0" customWidth="1"/>
    <col min="4" max="4" width="5.421875" style="0" customWidth="1"/>
    <col min="6" max="6" width="1.421875" style="0" customWidth="1"/>
    <col min="7" max="7" width="4.7109375" style="0" hidden="1" customWidth="1"/>
    <col min="8" max="8" width="4.28125" style="0" customWidth="1"/>
    <col min="9" max="9" width="11.140625" style="0" customWidth="1"/>
    <col min="10" max="10" width="11.421875" style="0" customWidth="1"/>
    <col min="12" max="12" width="11.421875" style="0" bestFit="1" customWidth="1"/>
  </cols>
  <sheetData>
    <row r="3" spans="3:12" ht="12"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2:11" ht="12.75">
      <c r="B4" s="65" t="s">
        <v>368</v>
      </c>
      <c r="H4" s="1"/>
      <c r="K4" t="s">
        <v>54</v>
      </c>
    </row>
    <row r="5" spans="2:8" ht="12">
      <c r="B5" t="s">
        <v>10</v>
      </c>
      <c r="H5" s="1"/>
    </row>
    <row r="6" ht="12">
      <c r="H6" s="1"/>
    </row>
    <row r="7" spans="3:12" ht="12">
      <c r="C7" s="215" t="s">
        <v>17</v>
      </c>
      <c r="D7" s="215"/>
      <c r="E7" s="215"/>
      <c r="F7" s="215"/>
      <c r="G7" s="215"/>
      <c r="H7" s="215"/>
      <c r="I7" s="215"/>
      <c r="J7" s="215"/>
      <c r="K7" s="215"/>
      <c r="L7" s="215"/>
    </row>
    <row r="8" spans="3:12" ht="12">
      <c r="C8" s="215" t="s">
        <v>90</v>
      </c>
      <c r="D8" s="215"/>
      <c r="E8" s="215"/>
      <c r="F8" s="215"/>
      <c r="G8" s="215"/>
      <c r="H8" s="215"/>
      <c r="I8" s="215"/>
      <c r="J8" s="215"/>
      <c r="K8" s="215"/>
      <c r="L8" s="215"/>
    </row>
    <row r="11" ht="12">
      <c r="B11" t="s">
        <v>23</v>
      </c>
    </row>
    <row r="13" ht="12">
      <c r="K13" t="s">
        <v>95</v>
      </c>
    </row>
    <row r="14" spans="2:12" ht="12">
      <c r="B14" t="s">
        <v>266</v>
      </c>
      <c r="I14" s="1" t="s">
        <v>93</v>
      </c>
      <c r="J14" s="1" t="s">
        <v>94</v>
      </c>
      <c r="K14" s="1" t="s">
        <v>96</v>
      </c>
      <c r="L14" s="1" t="s">
        <v>300</v>
      </c>
    </row>
    <row r="15" spans="9:12" ht="12">
      <c r="I15" s="1"/>
      <c r="J15" s="1"/>
      <c r="K15" s="1"/>
      <c r="L15" s="1"/>
    </row>
    <row r="16" spans="9:12" ht="12">
      <c r="I16" s="7">
        <v>21494</v>
      </c>
      <c r="J16" s="7">
        <v>105901</v>
      </c>
      <c r="K16" s="80">
        <v>25113</v>
      </c>
      <c r="L16" s="7">
        <f>K16+J16+I16</f>
        <v>152508</v>
      </c>
    </row>
    <row r="17" spans="9:12" ht="12">
      <c r="I17" s="78"/>
      <c r="J17" s="78"/>
      <c r="K17" s="79"/>
      <c r="L17" s="78"/>
    </row>
    <row r="18" spans="3:12" ht="12">
      <c r="C18" t="s">
        <v>9</v>
      </c>
      <c r="I18" s="76">
        <f>SUM(I16:I17)</f>
        <v>21494</v>
      </c>
      <c r="J18" s="76">
        <f>SUM(J16:J17)</f>
        <v>105901</v>
      </c>
      <c r="K18" s="76">
        <f>SUM(K16:K17)</f>
        <v>25113</v>
      </c>
      <c r="L18" s="76">
        <f>SUM(L16:L17)</f>
        <v>152508</v>
      </c>
    </row>
    <row r="19" spans="9:12" ht="12">
      <c r="I19" s="76"/>
      <c r="J19" s="76"/>
      <c r="K19" s="76"/>
      <c r="L19" s="76"/>
    </row>
    <row r="20" spans="9:12" ht="12">
      <c r="I20" s="76"/>
      <c r="J20" s="76"/>
      <c r="K20" s="76"/>
      <c r="L20" s="76"/>
    </row>
    <row r="21" ht="12">
      <c r="L21" s="9"/>
    </row>
  </sheetData>
  <mergeCells count="3">
    <mergeCell ref="C3:L3"/>
    <mergeCell ref="C7:L7"/>
    <mergeCell ref="C8:L8"/>
  </mergeCells>
  <printOptions/>
  <pageMargins left="0.9" right="0.25" top="1" bottom="1" header="0.5" footer="0.5"/>
  <pageSetup fitToHeight="1" fitToWidth="1"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workbookViewId="0" topLeftCell="A1">
      <selection activeCell="A3" sqref="A3"/>
    </sheetView>
  </sheetViews>
  <sheetFormatPr defaultColWidth="8.8515625" defaultRowHeight="12.75"/>
  <cols>
    <col min="1" max="1" width="4.140625" style="0" customWidth="1"/>
    <col min="3" max="3" width="4.28125" style="0" customWidth="1"/>
    <col min="4" max="4" width="1.8515625" style="0" customWidth="1"/>
    <col min="5" max="5" width="3.28125" style="0" customWidth="1"/>
    <col min="6" max="6" width="12.8515625" style="0" customWidth="1"/>
    <col min="7" max="7" width="3.28125" style="0" customWidth="1"/>
    <col min="8" max="8" width="10.7109375" style="0" bestFit="1" customWidth="1"/>
    <col min="9" max="9" width="4.00390625" style="0" customWidth="1"/>
    <col min="10" max="10" width="12.00390625" style="0" bestFit="1" customWidth="1"/>
    <col min="11" max="11" width="4.421875" style="0" customWidth="1"/>
    <col min="12" max="12" width="6.8515625" style="0" customWidth="1"/>
  </cols>
  <sheetData>
    <row r="2" spans="1:10" ht="12.75">
      <c r="A2" s="65" t="s">
        <v>368</v>
      </c>
      <c r="B2" s="1" t="s">
        <v>536</v>
      </c>
      <c r="C2" s="1"/>
      <c r="D2" s="1"/>
      <c r="E2" s="1"/>
      <c r="G2" s="1"/>
      <c r="H2" s="1"/>
      <c r="I2" s="1"/>
      <c r="J2" s="1"/>
    </row>
    <row r="3" spans="1:10" ht="12">
      <c r="A3" t="s">
        <v>10</v>
      </c>
      <c r="J3" t="s">
        <v>12</v>
      </c>
    </row>
    <row r="4" spans="3:10" ht="12">
      <c r="C4" s="46"/>
      <c r="D4" s="46"/>
      <c r="E4" s="46"/>
      <c r="F4" s="46" t="s">
        <v>20</v>
      </c>
      <c r="G4" s="46"/>
      <c r="H4" s="46"/>
      <c r="I4" s="46"/>
      <c r="J4" s="46"/>
    </row>
    <row r="5" spans="3:10" ht="12">
      <c r="C5" s="46"/>
      <c r="D5" s="46"/>
      <c r="E5" s="46"/>
      <c r="F5" s="46" t="s">
        <v>7</v>
      </c>
      <c r="G5" s="46"/>
      <c r="H5" s="46"/>
      <c r="I5" s="46"/>
      <c r="J5" s="46"/>
    </row>
    <row r="6" spans="2:10" ht="12">
      <c r="B6" s="1"/>
      <c r="C6" s="1"/>
      <c r="D6" s="1"/>
      <c r="E6" s="1"/>
      <c r="F6" s="1"/>
      <c r="G6" s="1"/>
      <c r="H6" s="1"/>
      <c r="I6" s="1"/>
      <c r="J6" s="1"/>
    </row>
    <row r="7" spans="6:10" ht="12">
      <c r="F7" s="1"/>
      <c r="G7" s="1"/>
      <c r="H7" s="1"/>
      <c r="I7" s="1"/>
      <c r="J7" s="1" t="s">
        <v>113</v>
      </c>
    </row>
    <row r="8" spans="6:10" ht="12">
      <c r="F8" s="1" t="s">
        <v>37</v>
      </c>
      <c r="G8" s="1"/>
      <c r="H8" s="1"/>
      <c r="I8" s="1"/>
      <c r="J8" s="1" t="s">
        <v>37</v>
      </c>
    </row>
    <row r="9" spans="6:10" ht="12">
      <c r="F9" s="1" t="s">
        <v>38</v>
      </c>
      <c r="G9" s="1"/>
      <c r="H9" s="1" t="s">
        <v>112</v>
      </c>
      <c r="I9" s="1"/>
      <c r="J9" s="1" t="s">
        <v>111</v>
      </c>
    </row>
    <row r="10" spans="6:10" ht="12">
      <c r="F10" s="2">
        <v>39813</v>
      </c>
      <c r="G10" s="1"/>
      <c r="H10" s="1" t="s">
        <v>557</v>
      </c>
      <c r="I10" s="1"/>
      <c r="J10" s="2">
        <v>39813</v>
      </c>
    </row>
    <row r="11" ht="12">
      <c r="H11" s="1" t="s">
        <v>407</v>
      </c>
    </row>
    <row r="12" ht="12">
      <c r="A12" t="s">
        <v>39</v>
      </c>
    </row>
    <row r="13" spans="2:10" ht="12">
      <c r="B13" t="s">
        <v>282</v>
      </c>
      <c r="F13" s="3">
        <f>118750+593750</f>
        <v>712500</v>
      </c>
      <c r="G13" s="3"/>
      <c r="H13" s="3">
        <f>F13*C$34-50000</f>
        <v>-50000</v>
      </c>
      <c r="I13" s="3"/>
      <c r="J13" s="3">
        <f>F13+H13</f>
        <v>662500</v>
      </c>
    </row>
    <row r="14" spans="2:10" ht="12">
      <c r="B14" t="s">
        <v>3</v>
      </c>
      <c r="F14" s="3"/>
      <c r="G14" s="3"/>
      <c r="H14" s="3">
        <f aca="true" t="shared" si="0" ref="H14:H19">F14*C$34</f>
        <v>0</v>
      </c>
      <c r="I14" s="3"/>
      <c r="J14" s="3">
        <f aca="true" t="shared" si="1" ref="J14:J19">F14+H14</f>
        <v>0</v>
      </c>
    </row>
    <row r="15" spans="2:10" ht="12">
      <c r="B15" t="s">
        <v>394</v>
      </c>
      <c r="F15" s="3">
        <f>64773+64773+32386</f>
        <v>161932</v>
      </c>
      <c r="G15" s="3"/>
      <c r="H15" s="3">
        <f t="shared" si="0"/>
        <v>0</v>
      </c>
      <c r="I15" s="3"/>
      <c r="J15" s="3">
        <f t="shared" si="1"/>
        <v>161932</v>
      </c>
    </row>
    <row r="16" spans="2:10" ht="12">
      <c r="B16" t="s">
        <v>461</v>
      </c>
      <c r="F16" s="3">
        <f>21591+32386</f>
        <v>53977</v>
      </c>
      <c r="G16" s="3"/>
      <c r="H16" s="3">
        <f t="shared" si="0"/>
        <v>0</v>
      </c>
      <c r="I16" s="3"/>
      <c r="J16" s="3">
        <f t="shared" si="1"/>
        <v>53977</v>
      </c>
    </row>
    <row r="17" spans="2:10" ht="12">
      <c r="B17" t="s">
        <v>21</v>
      </c>
      <c r="F17" s="3"/>
      <c r="G17" s="3"/>
      <c r="H17" s="3">
        <f t="shared" si="0"/>
        <v>0</v>
      </c>
      <c r="I17" s="3"/>
      <c r="J17" s="3">
        <f t="shared" si="1"/>
        <v>0</v>
      </c>
    </row>
    <row r="18" spans="2:10" ht="12">
      <c r="B18" t="s">
        <v>22</v>
      </c>
      <c r="F18" s="3"/>
      <c r="G18" s="3"/>
      <c r="H18" s="3">
        <f t="shared" si="0"/>
        <v>0</v>
      </c>
      <c r="I18" s="3"/>
      <c r="J18" s="3">
        <f t="shared" si="1"/>
        <v>0</v>
      </c>
    </row>
    <row r="19" spans="2:10" ht="12">
      <c r="B19" t="s">
        <v>107</v>
      </c>
      <c r="F19" s="4">
        <f>53977</f>
        <v>53977</v>
      </c>
      <c r="G19" s="3"/>
      <c r="H19" s="4">
        <f t="shared" si="0"/>
        <v>0</v>
      </c>
      <c r="I19" s="3"/>
      <c r="J19" s="4">
        <f t="shared" si="1"/>
        <v>53977</v>
      </c>
    </row>
    <row r="20" spans="6:10" ht="12">
      <c r="F20" s="3"/>
      <c r="G20" s="3"/>
      <c r="H20" s="3"/>
      <c r="I20" s="3"/>
      <c r="J20" s="3"/>
    </row>
    <row r="21" spans="2:10" ht="12">
      <c r="B21" t="s">
        <v>108</v>
      </c>
      <c r="F21" s="4">
        <f>SUM(F13:F19)</f>
        <v>982386</v>
      </c>
      <c r="G21" s="3"/>
      <c r="H21" s="4">
        <f>SUM(H13:H19)</f>
        <v>-50000</v>
      </c>
      <c r="I21" s="3"/>
      <c r="J21" s="4">
        <f>SUM(J13:J19)</f>
        <v>932386</v>
      </c>
    </row>
    <row r="22" spans="6:10" ht="12">
      <c r="F22" s="3"/>
      <c r="G22" s="3"/>
      <c r="H22" s="3"/>
      <c r="I22" s="3"/>
      <c r="J22" s="3"/>
    </row>
    <row r="23" spans="1:10" ht="12">
      <c r="A23" t="s">
        <v>283</v>
      </c>
      <c r="F23" s="3"/>
      <c r="G23" s="3"/>
      <c r="H23" s="3">
        <v>0</v>
      </c>
      <c r="I23" s="3"/>
      <c r="J23" s="3"/>
    </row>
    <row r="24" spans="2:10" ht="12">
      <c r="B24" t="s">
        <v>282</v>
      </c>
      <c r="F24" s="4">
        <v>97158</v>
      </c>
      <c r="G24" s="3"/>
      <c r="H24" s="4">
        <f>F24*C$34</f>
        <v>0</v>
      </c>
      <c r="I24" s="3"/>
      <c r="J24" s="4">
        <f>F24+H24</f>
        <v>97158</v>
      </c>
    </row>
    <row r="25" spans="6:10" ht="12">
      <c r="F25" s="3"/>
      <c r="G25" s="3"/>
      <c r="H25" s="3"/>
      <c r="I25" s="3"/>
      <c r="J25" s="3"/>
    </row>
    <row r="26" spans="2:10" ht="12">
      <c r="B26" t="s">
        <v>422</v>
      </c>
      <c r="F26" s="4">
        <f>SUM(F24:F25)</f>
        <v>97158</v>
      </c>
      <c r="G26" s="3"/>
      <c r="H26" s="4">
        <f>SUM(H24:H25)</f>
        <v>0</v>
      </c>
      <c r="I26" s="3"/>
      <c r="J26" s="4">
        <f>SUM(J24:J25)</f>
        <v>97158</v>
      </c>
    </row>
    <row r="27" spans="6:10" ht="12">
      <c r="F27" s="3"/>
      <c r="G27" s="3"/>
      <c r="H27" s="3"/>
      <c r="I27" s="3"/>
      <c r="J27" s="3"/>
    </row>
    <row r="28" spans="1:10" ht="12.75" thickBot="1">
      <c r="A28" t="s">
        <v>423</v>
      </c>
      <c r="F28" s="5">
        <f>F26+F21</f>
        <v>1079544</v>
      </c>
      <c r="G28" s="3"/>
      <c r="H28" s="5">
        <f>H26+H21</f>
        <v>-50000</v>
      </c>
      <c r="I28" s="3"/>
      <c r="J28" s="5">
        <f>J26+J21</f>
        <v>1029544</v>
      </c>
    </row>
    <row r="29" spans="6:10" ht="12.75" thickTop="1">
      <c r="F29" s="3"/>
      <c r="G29" s="3"/>
      <c r="H29" s="3"/>
      <c r="I29" s="3"/>
      <c r="J29" s="3"/>
    </row>
    <row r="33" ht="12">
      <c r="B33" t="s">
        <v>406</v>
      </c>
    </row>
    <row r="34" spans="2:4" ht="12">
      <c r="B34" s="63" t="s">
        <v>432</v>
      </c>
      <c r="C34" s="140">
        <v>0</v>
      </c>
      <c r="D34" t="s">
        <v>442</v>
      </c>
    </row>
  </sheetData>
  <printOptions/>
  <pageMargins left="1.18" right="0.75" top="1" bottom="1" header="0.5" footer="0.5"/>
  <pageSetup fitToHeight="1" fitToWidth="1"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B2:K34"/>
  <sheetViews>
    <sheetView workbookViewId="0" topLeftCell="A1">
      <selection activeCell="B4" sqref="B4"/>
    </sheetView>
  </sheetViews>
  <sheetFormatPr defaultColWidth="11.57421875" defaultRowHeight="12.75"/>
  <cols>
    <col min="1" max="1" width="7.00390625" style="0" customWidth="1"/>
    <col min="2" max="2" width="10.421875" style="0" customWidth="1"/>
    <col min="3" max="3" width="8.28125" style="0" customWidth="1"/>
    <col min="4" max="4" width="2.28125" style="0" customWidth="1"/>
    <col min="5" max="5" width="10.00390625" style="0" customWidth="1"/>
    <col min="6" max="6" width="7.7109375" style="0" customWidth="1"/>
    <col min="7" max="7" width="10.00390625" style="0" customWidth="1"/>
    <col min="8" max="8" width="9.28125" style="0" customWidth="1"/>
    <col min="9" max="9" width="8.7109375" style="0" customWidth="1"/>
    <col min="10" max="10" width="9.140625" style="0" bestFit="1" customWidth="1"/>
    <col min="11" max="11" width="16.28125" style="0" customWidth="1"/>
  </cols>
  <sheetData>
    <row r="2" ht="12.75">
      <c r="K2" s="22"/>
    </row>
    <row r="3" spans="2:11" ht="12.75">
      <c r="B3" s="65" t="s">
        <v>368</v>
      </c>
      <c r="D3" s="25"/>
      <c r="E3" s="23" t="s">
        <v>139</v>
      </c>
      <c r="F3" s="23"/>
      <c r="G3" s="23"/>
      <c r="H3" s="23"/>
      <c r="K3" s="22"/>
    </row>
    <row r="4" spans="2:11" ht="12.75">
      <c r="B4" t="s">
        <v>10</v>
      </c>
      <c r="F4" s="1"/>
      <c r="I4" s="23"/>
      <c r="J4" s="63" t="s">
        <v>320</v>
      </c>
      <c r="K4" s="24"/>
    </row>
    <row r="5" spans="3:11" ht="12.75">
      <c r="C5" s="175" t="s">
        <v>443</v>
      </c>
      <c r="I5" s="25"/>
      <c r="J5" s="95"/>
      <c r="K5" s="23"/>
    </row>
    <row r="6" spans="3:11" ht="12.75">
      <c r="C6" s="25" t="s">
        <v>413</v>
      </c>
      <c r="E6" s="1" t="s">
        <v>425</v>
      </c>
      <c r="F6" s="1" t="s">
        <v>425</v>
      </c>
      <c r="H6" s="29" t="s">
        <v>413</v>
      </c>
      <c r="J6" s="28" t="s">
        <v>568</v>
      </c>
      <c r="K6" s="23"/>
    </row>
    <row r="7" spans="3:10" ht="12.75">
      <c r="C7" s="25" t="s">
        <v>566</v>
      </c>
      <c r="E7" s="25" t="s">
        <v>567</v>
      </c>
      <c r="F7" s="25" t="s">
        <v>567</v>
      </c>
      <c r="G7" s="1" t="s">
        <v>22</v>
      </c>
      <c r="H7" s="1" t="s">
        <v>232</v>
      </c>
      <c r="I7" s="1" t="s">
        <v>232</v>
      </c>
      <c r="J7" s="96" t="s">
        <v>552</v>
      </c>
    </row>
    <row r="8" spans="3:10" ht="12.75">
      <c r="C8" s="25" t="s">
        <v>569</v>
      </c>
      <c r="E8" s="25" t="s">
        <v>507</v>
      </c>
      <c r="F8" s="25" t="s">
        <v>405</v>
      </c>
      <c r="G8" s="23" t="s">
        <v>557</v>
      </c>
      <c r="H8" s="1">
        <v>2008</v>
      </c>
      <c r="I8" s="1" t="s">
        <v>412</v>
      </c>
      <c r="J8" s="28" t="s">
        <v>22</v>
      </c>
    </row>
    <row r="10" spans="2:10" ht="12">
      <c r="B10" s="178">
        <v>39822</v>
      </c>
      <c r="C10" s="139">
        <v>28196</v>
      </c>
      <c r="E10" s="176">
        <v>1500</v>
      </c>
      <c r="F10" s="20">
        <f>C10-E10</f>
        <v>26696</v>
      </c>
      <c r="G10" s="176">
        <f>'Sales adj'!F8</f>
        <v>500</v>
      </c>
      <c r="H10">
        <v>1247</v>
      </c>
      <c r="I10" s="21">
        <v>1366</v>
      </c>
      <c r="J10" s="20">
        <f>I10/H10*F10+E10+G10</f>
        <v>31243.573376102642</v>
      </c>
    </row>
    <row r="11" spans="2:10" ht="12">
      <c r="B11" s="178">
        <v>39853</v>
      </c>
      <c r="C11" s="47">
        <v>26490.07</v>
      </c>
      <c r="E11" s="176">
        <f>E10</f>
        <v>1500</v>
      </c>
      <c r="F11" s="20">
        <f>C11-E11</f>
        <v>24990.07</v>
      </c>
      <c r="G11" s="176">
        <f>'Sales adj'!F9</f>
        <v>800</v>
      </c>
      <c r="H11">
        <v>1213</v>
      </c>
      <c r="I11" s="21">
        <v>1159</v>
      </c>
      <c r="J11" s="20">
        <f aca="true" t="shared" si="0" ref="J11:J21">I11/H11*F11+E11+G11</f>
        <v>26177.568944765044</v>
      </c>
    </row>
    <row r="12" spans="2:10" ht="12">
      <c r="B12" s="178">
        <v>39881</v>
      </c>
      <c r="C12" s="139">
        <v>21324.03</v>
      </c>
      <c r="E12" s="176">
        <f>E11</f>
        <v>1500</v>
      </c>
      <c r="F12" s="20">
        <f>C12-E12</f>
        <v>19824.03</v>
      </c>
      <c r="G12" s="176">
        <f>'Sales adj'!F10</f>
        <v>1000</v>
      </c>
      <c r="H12">
        <v>1027</v>
      </c>
      <c r="I12" s="21">
        <v>982</v>
      </c>
      <c r="J12" s="20">
        <f t="shared" si="0"/>
        <v>21455.401616358322</v>
      </c>
    </row>
    <row r="13" spans="2:10" ht="12">
      <c r="B13" s="178">
        <v>39912</v>
      </c>
      <c r="C13" s="139">
        <v>11643.92</v>
      </c>
      <c r="E13" s="176">
        <f>E12</f>
        <v>1500</v>
      </c>
      <c r="F13" s="20">
        <f>C13-E13</f>
        <v>10143.92</v>
      </c>
      <c r="G13" s="176">
        <f>'Sales adj'!F11</f>
        <v>0</v>
      </c>
      <c r="H13">
        <v>576</v>
      </c>
      <c r="I13" s="21">
        <v>596</v>
      </c>
      <c r="J13" s="20">
        <f t="shared" si="0"/>
        <v>11996.139444444445</v>
      </c>
    </row>
    <row r="14" spans="2:10" ht="12">
      <c r="B14" s="178">
        <v>39942</v>
      </c>
      <c r="C14" s="139">
        <v>5467.34</v>
      </c>
      <c r="E14" s="176">
        <f>E13</f>
        <v>1500</v>
      </c>
      <c r="F14" s="20">
        <f>C14-E14</f>
        <v>3967.34</v>
      </c>
      <c r="G14" s="176">
        <f>'Sales adj'!F12</f>
        <v>-100</v>
      </c>
      <c r="H14">
        <v>359</v>
      </c>
      <c r="I14" s="21">
        <v>299</v>
      </c>
      <c r="J14" s="20">
        <f t="shared" si="0"/>
        <v>4704.274818941504</v>
      </c>
    </row>
    <row r="15" spans="2:10" ht="12">
      <c r="B15" s="178">
        <v>39973</v>
      </c>
      <c r="C15" s="139">
        <v>1238.9</v>
      </c>
      <c r="E15" s="177">
        <f>C15</f>
        <v>1238.9</v>
      </c>
      <c r="F15" s="20">
        <f>C15+G15-E15</f>
        <v>0</v>
      </c>
      <c r="G15" s="176">
        <f>'Sales adj'!F13</f>
        <v>0</v>
      </c>
      <c r="H15">
        <v>49</v>
      </c>
      <c r="I15" s="21">
        <v>85</v>
      </c>
      <c r="J15" s="20">
        <f t="shared" si="0"/>
        <v>1238.9</v>
      </c>
    </row>
    <row r="16" spans="2:10" ht="12">
      <c r="B16" s="178">
        <v>39638</v>
      </c>
      <c r="C16" s="139">
        <v>697.33</v>
      </c>
      <c r="E16" s="176">
        <f>C16+G16</f>
        <v>697.33</v>
      </c>
      <c r="F16" s="20">
        <f>C16+G16-E16</f>
        <v>0</v>
      </c>
      <c r="G16" s="176">
        <f>'Sales adj'!F14</f>
        <v>0</v>
      </c>
      <c r="H16">
        <v>1</v>
      </c>
      <c r="I16" s="21">
        <v>16</v>
      </c>
      <c r="J16" s="20">
        <f t="shared" si="0"/>
        <v>697.33</v>
      </c>
    </row>
    <row r="17" spans="2:10" ht="12">
      <c r="B17" s="178">
        <v>39669</v>
      </c>
      <c r="C17" s="139">
        <v>729.89</v>
      </c>
      <c r="E17" s="176">
        <f>C17+G17</f>
        <v>729.89</v>
      </c>
      <c r="F17" s="20">
        <f>C17+G17-E17</f>
        <v>0</v>
      </c>
      <c r="G17" s="176">
        <f>'Sales adj'!F15</f>
        <v>0</v>
      </c>
      <c r="H17">
        <v>27</v>
      </c>
      <c r="I17" s="21">
        <v>35</v>
      </c>
      <c r="J17" s="20">
        <f t="shared" si="0"/>
        <v>729.89</v>
      </c>
    </row>
    <row r="18" spans="2:10" ht="12">
      <c r="B18" s="178">
        <v>39700</v>
      </c>
      <c r="C18" s="139">
        <v>1434.86</v>
      </c>
      <c r="E18" s="177">
        <f>C18</f>
        <v>1434.86</v>
      </c>
      <c r="F18" s="20">
        <f>C18-E18</f>
        <v>0</v>
      </c>
      <c r="G18" s="176">
        <f>'Sales adj'!F16</f>
        <v>400</v>
      </c>
      <c r="H18">
        <v>163</v>
      </c>
      <c r="I18" s="21">
        <v>184</v>
      </c>
      <c r="J18" s="20">
        <f t="shared" si="0"/>
        <v>1834.86</v>
      </c>
    </row>
    <row r="19" spans="2:10" ht="12">
      <c r="B19" s="178">
        <v>39730</v>
      </c>
      <c r="C19" s="139">
        <v>8172.41</v>
      </c>
      <c r="E19" s="176">
        <v>1500</v>
      </c>
      <c r="F19" s="20">
        <f>C19-E19</f>
        <v>6672.41</v>
      </c>
      <c r="G19" s="176">
        <f>'Sales adj'!F17</f>
        <v>800</v>
      </c>
      <c r="H19" s="30">
        <v>551</v>
      </c>
      <c r="I19">
        <v>516</v>
      </c>
      <c r="J19" s="20">
        <f t="shared" si="0"/>
        <v>8548.572704174228</v>
      </c>
    </row>
    <row r="20" spans="2:10" ht="12">
      <c r="B20" s="178">
        <v>39761</v>
      </c>
      <c r="C20" s="138">
        <v>13677.95</v>
      </c>
      <c r="E20" s="176">
        <f>E19</f>
        <v>1500</v>
      </c>
      <c r="F20" s="20">
        <f>C20-E20</f>
        <v>12177.95</v>
      </c>
      <c r="G20" s="176">
        <f>'Sales adj'!F18</f>
        <v>1500</v>
      </c>
      <c r="H20">
        <v>689</v>
      </c>
      <c r="I20" s="21">
        <v>793</v>
      </c>
      <c r="J20" s="20">
        <f t="shared" si="0"/>
        <v>17016.131132075472</v>
      </c>
    </row>
    <row r="21" spans="2:10" ht="12">
      <c r="B21" s="178">
        <v>39791</v>
      </c>
      <c r="C21" s="138">
        <v>24966.74</v>
      </c>
      <c r="E21" s="176">
        <f>E20</f>
        <v>1500</v>
      </c>
      <c r="F21" s="20">
        <f>C21-E21</f>
        <v>23466.74</v>
      </c>
      <c r="G21" s="176">
        <f>'Sales adj'!F19</f>
        <v>2000</v>
      </c>
      <c r="H21">
        <v>1309</v>
      </c>
      <c r="I21" s="21">
        <v>1185</v>
      </c>
      <c r="J21" s="20">
        <f t="shared" si="0"/>
        <v>24743.76386554622</v>
      </c>
    </row>
    <row r="23" spans="3:10" ht="12">
      <c r="C23" s="20">
        <f>SUM(C10:C22)</f>
        <v>144039.44</v>
      </c>
      <c r="E23" s="20">
        <f>SUM(E10:E22)</f>
        <v>16100.98</v>
      </c>
      <c r="F23" s="20">
        <f>SUM(F10:F22)</f>
        <v>127938.46</v>
      </c>
      <c r="G23" s="20">
        <f>SUM(G10:G22)</f>
        <v>6900</v>
      </c>
      <c r="H23">
        <f>SUM(H10:H21)</f>
        <v>7211</v>
      </c>
      <c r="I23" s="21">
        <f>SUM(I10:I21)</f>
        <v>7216</v>
      </c>
      <c r="J23" s="20">
        <f>SUM(J10:J21)</f>
        <v>150386.4059024079</v>
      </c>
    </row>
    <row r="25" ht="12">
      <c r="F25" s="20">
        <f>F23+E23</f>
        <v>144039.44</v>
      </c>
    </row>
    <row r="26" ht="12">
      <c r="D26" s="20"/>
    </row>
    <row r="27" spans="5:9" ht="12">
      <c r="E27" t="s">
        <v>138</v>
      </c>
      <c r="I27" s="174">
        <f>H23/I23</f>
        <v>0.9993070953436807</v>
      </c>
    </row>
    <row r="28" spans="5:10" ht="12">
      <c r="E28" t="s">
        <v>165</v>
      </c>
      <c r="J28" s="20">
        <f>C23+G23</f>
        <v>150939.44</v>
      </c>
    </row>
    <row r="32" spans="4:10" ht="12">
      <c r="D32" t="s">
        <v>148</v>
      </c>
      <c r="J32" s="34">
        <f>J23-J28</f>
        <v>-553.0340975921135</v>
      </c>
    </row>
    <row r="33" ht="12">
      <c r="J33" s="34"/>
    </row>
    <row r="34" spans="4:10" ht="12">
      <c r="D34" t="s">
        <v>551</v>
      </c>
      <c r="J34" s="34">
        <f>J23-C23</f>
        <v>6346.9659024078865</v>
      </c>
    </row>
  </sheetData>
  <printOptions/>
  <pageMargins left="0.31" right="0.55" top="1.35" bottom="0.6" header="0.5" footer="0.5"/>
  <pageSetup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6:H21"/>
  <sheetViews>
    <sheetView workbookViewId="0" topLeftCell="A1">
      <selection activeCell="B31" sqref="B31"/>
    </sheetView>
  </sheetViews>
  <sheetFormatPr defaultColWidth="11.57421875" defaultRowHeight="12.75"/>
  <cols>
    <col min="3" max="3" width="3.00390625" style="0" customWidth="1"/>
    <col min="4" max="4" width="12.421875" style="0" customWidth="1"/>
    <col min="5" max="5" width="10.8515625" style="0" customWidth="1"/>
  </cols>
  <sheetData>
    <row r="6" spans="4:6" ht="12">
      <c r="D6" s="1" t="s">
        <v>131</v>
      </c>
      <c r="E6" s="27" t="s">
        <v>221</v>
      </c>
      <c r="F6" s="1" t="s">
        <v>31</v>
      </c>
    </row>
    <row r="7" spans="4:5" ht="12">
      <c r="D7" s="1" t="s">
        <v>132</v>
      </c>
      <c r="E7" s="27" t="s">
        <v>222</v>
      </c>
    </row>
    <row r="8" spans="2:8" ht="12">
      <c r="B8" t="s">
        <v>265</v>
      </c>
      <c r="D8">
        <v>-1500</v>
      </c>
      <c r="E8" s="26">
        <v>2000</v>
      </c>
      <c r="F8" s="26">
        <f>C8+D8+E8</f>
        <v>500</v>
      </c>
      <c r="G8" s="20">
        <f>'Sched 1-C'!J10</f>
        <v>31243.573376102642</v>
      </c>
      <c r="H8">
        <v>30612</v>
      </c>
    </row>
    <row r="9" spans="2:8" ht="12">
      <c r="B9" t="s">
        <v>280</v>
      </c>
      <c r="D9">
        <v>-1200</v>
      </c>
      <c r="E9" s="26">
        <v>2000</v>
      </c>
      <c r="F9" s="26">
        <f aca="true" t="shared" si="0" ref="F9:F19">C9+D9+E9</f>
        <v>800</v>
      </c>
      <c r="G9" s="20">
        <f>'Sched 1-C'!J11</f>
        <v>26177.568944765044</v>
      </c>
      <c r="H9">
        <v>25744</v>
      </c>
    </row>
    <row r="10" spans="2:8" ht="12">
      <c r="B10" t="s">
        <v>506</v>
      </c>
      <c r="D10">
        <v>-800</v>
      </c>
      <c r="E10" s="26">
        <v>1800</v>
      </c>
      <c r="F10" s="26">
        <f t="shared" si="0"/>
        <v>1000</v>
      </c>
      <c r="G10" s="20">
        <f>'Sched 1-C'!J12</f>
        <v>21455.401616358322</v>
      </c>
      <c r="H10">
        <v>21361</v>
      </c>
    </row>
    <row r="11" spans="2:8" ht="12">
      <c r="B11" t="s">
        <v>409</v>
      </c>
      <c r="D11">
        <v>-800</v>
      </c>
      <c r="E11" s="26">
        <v>800</v>
      </c>
      <c r="F11" s="26">
        <f t="shared" si="0"/>
        <v>0</v>
      </c>
      <c r="G11" s="20">
        <f>'Sched 1-C'!J13</f>
        <v>11996.139444444445</v>
      </c>
      <c r="H11">
        <v>11169</v>
      </c>
    </row>
    <row r="12" spans="2:7" ht="12">
      <c r="B12" t="s">
        <v>255</v>
      </c>
      <c r="D12">
        <v>-800</v>
      </c>
      <c r="E12" s="26">
        <v>700</v>
      </c>
      <c r="F12" s="26">
        <f t="shared" si="0"/>
        <v>-100</v>
      </c>
      <c r="G12" s="20">
        <f>'Sched 1-C'!J14</f>
        <v>4704.274818941504</v>
      </c>
    </row>
    <row r="13" spans="2:7" ht="12">
      <c r="B13" t="s">
        <v>256</v>
      </c>
      <c r="F13" s="26">
        <f t="shared" si="0"/>
        <v>0</v>
      </c>
      <c r="G13" s="20">
        <f>'Sched 1-C'!J15</f>
        <v>1238.9</v>
      </c>
    </row>
    <row r="14" spans="2:7" ht="12">
      <c r="B14" t="s">
        <v>257</v>
      </c>
      <c r="F14" s="26">
        <f t="shared" si="0"/>
        <v>0</v>
      </c>
      <c r="G14" s="20">
        <f>'Sched 1-C'!J16</f>
        <v>697.33</v>
      </c>
    </row>
    <row r="15" spans="2:7" ht="12">
      <c r="B15" t="s">
        <v>258</v>
      </c>
      <c r="F15" s="26">
        <f t="shared" si="0"/>
        <v>0</v>
      </c>
      <c r="G15" s="20">
        <f>'Sched 1-C'!J17</f>
        <v>729.89</v>
      </c>
    </row>
    <row r="16" spans="2:7" ht="12">
      <c r="B16" t="s">
        <v>240</v>
      </c>
      <c r="E16" s="26">
        <v>400</v>
      </c>
      <c r="F16" s="26">
        <f t="shared" si="0"/>
        <v>400</v>
      </c>
      <c r="G16" s="20">
        <f>'Sched 1-C'!J18</f>
        <v>1834.86</v>
      </c>
    </row>
    <row r="17" spans="2:7" ht="12">
      <c r="B17" t="s">
        <v>279</v>
      </c>
      <c r="E17" s="26">
        <v>800</v>
      </c>
      <c r="F17" s="26">
        <f t="shared" si="0"/>
        <v>800</v>
      </c>
      <c r="G17" s="20">
        <f>'Sched 1-C'!J19</f>
        <v>8548.572704174228</v>
      </c>
    </row>
    <row r="18" spans="2:7" ht="12">
      <c r="B18" t="s">
        <v>365</v>
      </c>
      <c r="E18" s="26">
        <v>1500</v>
      </c>
      <c r="F18" s="26">
        <f t="shared" si="0"/>
        <v>1500</v>
      </c>
      <c r="G18" s="20">
        <f>'Sched 1-C'!J20</f>
        <v>17016.131132075472</v>
      </c>
    </row>
    <row r="19" spans="2:7" ht="12">
      <c r="B19" t="s">
        <v>366</v>
      </c>
      <c r="E19" s="26">
        <v>2000</v>
      </c>
      <c r="F19" s="26">
        <f t="shared" si="0"/>
        <v>2000</v>
      </c>
      <c r="G19" s="20">
        <f>'Sched 1-C'!J21</f>
        <v>24743.76386554622</v>
      </c>
    </row>
    <row r="21" spans="2:7" ht="12">
      <c r="B21" t="s">
        <v>31</v>
      </c>
      <c r="D21" s="26">
        <f>SUM(D8:D19)</f>
        <v>-5100</v>
      </c>
      <c r="E21" s="26">
        <f>SUM(E8:E19)</f>
        <v>12000</v>
      </c>
      <c r="F21" s="26">
        <f>SUM(F8:F19)</f>
        <v>6900</v>
      </c>
      <c r="G21" s="26">
        <f>SUM(G8:G19)</f>
        <v>150386.4059024079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3:M18"/>
  <sheetViews>
    <sheetView workbookViewId="0" topLeftCell="A1">
      <selection activeCell="C4" sqref="C4"/>
    </sheetView>
  </sheetViews>
  <sheetFormatPr defaultColWidth="8.8515625" defaultRowHeight="12.75"/>
  <cols>
    <col min="1" max="1" width="3.28125" style="0" customWidth="1"/>
    <col min="2" max="2" width="4.7109375" style="0" customWidth="1"/>
    <col min="3" max="3" width="3.8515625" style="0" customWidth="1"/>
    <col min="4" max="4" width="4.7109375" style="0" customWidth="1"/>
    <col min="5" max="5" width="2.28125" style="0" customWidth="1"/>
    <col min="7" max="7" width="2.7109375" style="0" customWidth="1"/>
    <col min="8" max="8" width="3.8515625" style="0" customWidth="1"/>
    <col min="9" max="9" width="11.421875" style="0" bestFit="1" customWidth="1"/>
    <col min="10" max="10" width="10.7109375" style="0" customWidth="1"/>
    <col min="11" max="11" width="10.421875" style="0" bestFit="1" customWidth="1"/>
    <col min="12" max="12" width="10.140625" style="0" bestFit="1" customWidth="1"/>
  </cols>
  <sheetData>
    <row r="3" spans="3:11" ht="12.75">
      <c r="C3" s="65" t="s">
        <v>368</v>
      </c>
      <c r="D3" s="1"/>
      <c r="E3" s="1"/>
      <c r="F3" s="1"/>
      <c r="G3" s="1"/>
      <c r="I3" s="1"/>
      <c r="J3" s="1"/>
      <c r="K3" t="s">
        <v>130</v>
      </c>
    </row>
    <row r="4" spans="2:3" ht="12.75">
      <c r="B4" s="15"/>
      <c r="C4" t="s">
        <v>10</v>
      </c>
    </row>
    <row r="5" spans="2:3" ht="12.75">
      <c r="B5" s="15"/>
      <c r="C5" s="14"/>
    </row>
    <row r="6" spans="2:3" ht="12.75">
      <c r="B6" s="15"/>
      <c r="C6" s="14"/>
    </row>
    <row r="7" spans="3:11" ht="12">
      <c r="C7" s="216" t="s">
        <v>129</v>
      </c>
      <c r="D7" s="216"/>
      <c r="E7" s="216"/>
      <c r="F7" s="216"/>
      <c r="G7" s="216"/>
      <c r="H7" s="216"/>
      <c r="I7" s="216"/>
      <c r="J7" s="216"/>
      <c r="K7" s="216"/>
    </row>
    <row r="8" spans="3:11" ht="12">
      <c r="C8" s="216" t="s">
        <v>128</v>
      </c>
      <c r="D8" s="216"/>
      <c r="E8" s="216"/>
      <c r="F8" s="216"/>
      <c r="G8" s="216"/>
      <c r="H8" s="216"/>
      <c r="I8" s="216"/>
      <c r="J8" s="216"/>
      <c r="K8" s="216"/>
    </row>
    <row r="11" spans="9:12" ht="12">
      <c r="I11" s="1"/>
      <c r="J11" s="1"/>
      <c r="K11" s="1" t="s">
        <v>31</v>
      </c>
      <c r="L11" s="1"/>
    </row>
    <row r="13" spans="2:13" ht="12">
      <c r="B13" t="s">
        <v>157</v>
      </c>
      <c r="K13" s="47">
        <v>9111</v>
      </c>
      <c r="L13" s="20"/>
      <c r="M13" s="3"/>
    </row>
    <row r="14" ht="12">
      <c r="K14" s="9"/>
    </row>
    <row r="15" spans="2:11" ht="12">
      <c r="B15" t="s">
        <v>32</v>
      </c>
      <c r="K15" s="4">
        <v>-203863</v>
      </c>
    </row>
    <row r="17" spans="3:11" ht="12.75" thickBot="1">
      <c r="C17" t="s">
        <v>8</v>
      </c>
      <c r="K17" s="8">
        <f>SUM(K13:K15)</f>
        <v>-194752</v>
      </c>
    </row>
    <row r="18" ht="12.75" thickTop="1">
      <c r="I18" s="3"/>
    </row>
  </sheetData>
  <mergeCells count="2">
    <mergeCell ref="C7:K7"/>
    <mergeCell ref="C8:K8"/>
  </mergeCells>
  <printOptions/>
  <pageMargins left="0.75" right="0.2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81"/>
  <sheetViews>
    <sheetView workbookViewId="0" topLeftCell="A23">
      <selection activeCell="B41" sqref="B41"/>
    </sheetView>
  </sheetViews>
  <sheetFormatPr defaultColWidth="8.8515625" defaultRowHeight="12.75"/>
  <cols>
    <col min="1" max="1" width="2.421875" style="0" customWidth="1"/>
    <col min="3" max="3" width="7.140625" style="0" customWidth="1"/>
    <col min="4" max="6" width="6.421875" style="0" customWidth="1"/>
    <col min="7" max="7" width="14.8515625" style="0" customWidth="1"/>
    <col min="8" max="8" width="2.7109375" style="0" customWidth="1"/>
    <col min="9" max="9" width="14.8515625" style="0" customWidth="1"/>
    <col min="10" max="10" width="2.7109375" style="0" customWidth="1"/>
    <col min="11" max="11" width="14.8515625" style="0" customWidth="1"/>
    <col min="12" max="12" width="2.7109375" style="0" customWidth="1"/>
    <col min="13" max="13" width="14.8515625" style="0" customWidth="1"/>
  </cols>
  <sheetData>
    <row r="2" spans="2:13" ht="12.75">
      <c r="B2" s="65" t="s">
        <v>368</v>
      </c>
      <c r="C2" s="1"/>
      <c r="D2" s="1"/>
      <c r="E2" s="1"/>
      <c r="F2" s="1"/>
      <c r="G2" s="1"/>
      <c r="H2" s="1"/>
      <c r="I2" s="1"/>
      <c r="J2" s="1"/>
      <c r="K2" s="1"/>
      <c r="L2" s="1"/>
      <c r="M2" t="s">
        <v>259</v>
      </c>
    </row>
    <row r="3" spans="2:13" ht="12">
      <c r="B3" t="s">
        <v>10</v>
      </c>
      <c r="C3" s="50"/>
      <c r="D3" s="50"/>
      <c r="E3" s="50"/>
      <c r="F3" s="50"/>
      <c r="G3" s="50"/>
      <c r="H3" s="50"/>
      <c r="I3" s="1"/>
      <c r="J3" s="50"/>
      <c r="K3" s="50"/>
      <c r="L3" s="50"/>
      <c r="M3" t="s">
        <v>260</v>
      </c>
    </row>
    <row r="4" spans="2:12" ht="12">
      <c r="B4" s="1"/>
      <c r="C4" s="1"/>
      <c r="D4" s="1"/>
      <c r="E4" s="1"/>
      <c r="F4" s="1"/>
      <c r="G4" s="1"/>
      <c r="H4" s="1"/>
      <c r="I4" s="1" t="s">
        <v>201</v>
      </c>
      <c r="J4" s="1"/>
      <c r="K4" s="1"/>
      <c r="L4" s="1"/>
    </row>
    <row r="5" spans="2:12" ht="12">
      <c r="B5" s="1"/>
      <c r="C5" s="1"/>
      <c r="D5" s="1"/>
      <c r="E5" s="1"/>
      <c r="F5" s="1"/>
      <c r="G5" s="1"/>
      <c r="H5" s="1"/>
      <c r="I5" s="1" t="s">
        <v>202</v>
      </c>
      <c r="J5" s="1"/>
      <c r="K5" s="1"/>
      <c r="L5" s="1"/>
    </row>
    <row r="6" spans="2:12" ht="12">
      <c r="B6" s="1"/>
      <c r="C6" s="1"/>
      <c r="D6" s="1"/>
      <c r="E6" s="1"/>
      <c r="F6" s="1"/>
      <c r="G6" s="1"/>
      <c r="H6" s="1"/>
      <c r="I6" s="1" t="s">
        <v>7</v>
      </c>
      <c r="J6" s="1"/>
      <c r="K6" s="1"/>
      <c r="L6" s="1"/>
    </row>
    <row r="8" spans="7:13" ht="12">
      <c r="G8" s="11">
        <v>39813</v>
      </c>
      <c r="H8" s="59"/>
      <c r="I8" s="11">
        <v>39447</v>
      </c>
      <c r="J8" s="59"/>
      <c r="K8" s="11">
        <v>39082</v>
      </c>
      <c r="L8" s="59"/>
      <c r="M8" s="11">
        <v>38717</v>
      </c>
    </row>
    <row r="10" ht="12">
      <c r="A10" t="s">
        <v>203</v>
      </c>
    </row>
    <row r="11" spans="2:13" ht="12">
      <c r="B11" t="s">
        <v>296</v>
      </c>
      <c r="G11" s="80">
        <f>'Sched 3-B'!R30</f>
        <v>3059472</v>
      </c>
      <c r="H11" s="80"/>
      <c r="I11" s="80">
        <f>'Sched 3-B'!F30</f>
        <v>3012273</v>
      </c>
      <c r="J11" s="80"/>
      <c r="K11" s="80">
        <f>90000+2409979+393663+92545+1</f>
        <v>2986188</v>
      </c>
      <c r="L11" s="80"/>
      <c r="M11" s="80">
        <f>90000+2386894+393663+92545+1</f>
        <v>2963103</v>
      </c>
    </row>
    <row r="12" spans="2:13" ht="12">
      <c r="B12" t="s">
        <v>297</v>
      </c>
      <c r="G12" s="18">
        <f>'Sched 3-B'!R23</f>
        <v>6421349</v>
      </c>
      <c r="H12" s="16"/>
      <c r="I12" s="18">
        <f>'Sched 3-B'!F23</f>
        <v>6393297</v>
      </c>
      <c r="J12" s="16"/>
      <c r="K12" s="18">
        <f>285218+6024748</f>
        <v>6309966</v>
      </c>
      <c r="L12" s="16"/>
      <c r="M12" s="18">
        <f>182999+5555525</f>
        <v>5738524</v>
      </c>
    </row>
    <row r="13" spans="2:13" ht="12">
      <c r="B13" t="s">
        <v>124</v>
      </c>
      <c r="G13" s="18">
        <f>'Sched 3-B'!R19</f>
        <v>771094</v>
      </c>
      <c r="H13" s="16"/>
      <c r="I13" s="18">
        <f>'Sched 3-B'!F19</f>
        <v>771094</v>
      </c>
      <c r="J13" s="16"/>
      <c r="K13" s="18">
        <f>668707+101684</f>
        <v>770391</v>
      </c>
      <c r="L13" s="16"/>
      <c r="M13" s="18">
        <v>668707</v>
      </c>
    </row>
    <row r="14" spans="2:13" ht="12">
      <c r="B14" t="s">
        <v>228</v>
      </c>
      <c r="G14" s="18">
        <f>'Sched 3-B'!R39</f>
        <v>313975</v>
      </c>
      <c r="H14" s="16"/>
      <c r="I14" s="18">
        <f>'Sched 3-B'!F39</f>
        <v>363276</v>
      </c>
      <c r="J14" s="16"/>
      <c r="K14" s="18">
        <f>34063+298831+9583+5780+3149+9611-1</f>
        <v>361016</v>
      </c>
      <c r="L14" s="16"/>
      <c r="M14" s="18">
        <f>17895+150831+9033+5780+3149+9611</f>
        <v>196299</v>
      </c>
    </row>
    <row r="15" spans="2:13" ht="12">
      <c r="B15" t="s">
        <v>229</v>
      </c>
      <c r="G15" s="18">
        <v>2655</v>
      </c>
      <c r="H15" s="16"/>
      <c r="I15" s="18">
        <f>'Sched 3-B'!F14</f>
        <v>2655</v>
      </c>
      <c r="J15" s="16"/>
      <c r="K15" s="18">
        <v>2655</v>
      </c>
      <c r="L15" s="16"/>
      <c r="M15" s="18">
        <v>2655</v>
      </c>
    </row>
    <row r="16" spans="2:13" ht="12">
      <c r="B16" t="s">
        <v>77</v>
      </c>
      <c r="G16" s="18">
        <f>'Sched 3-B'!R10</f>
        <v>139</v>
      </c>
      <c r="H16" s="16"/>
      <c r="I16" s="18">
        <f>'Sched 3-B'!F10</f>
        <v>139</v>
      </c>
      <c r="J16" s="16"/>
      <c r="K16" s="18">
        <v>31139</v>
      </c>
      <c r="L16" s="16"/>
      <c r="M16" s="18">
        <v>31139</v>
      </c>
    </row>
    <row r="17" spans="2:13" ht="12">
      <c r="B17" t="s">
        <v>310</v>
      </c>
      <c r="G17" s="60">
        <v>67203</v>
      </c>
      <c r="H17" s="19"/>
      <c r="I17" s="60">
        <v>67203</v>
      </c>
      <c r="J17" s="19"/>
      <c r="K17" s="60">
        <v>57247</v>
      </c>
      <c r="L17" s="19"/>
      <c r="M17" s="60">
        <v>20829</v>
      </c>
    </row>
    <row r="18" spans="7:13" ht="12">
      <c r="G18" s="3">
        <f>SUM(G11:G17)</f>
        <v>10635887</v>
      </c>
      <c r="H18" s="3"/>
      <c r="I18" s="3">
        <f>SUM(I11:I17)</f>
        <v>10609937</v>
      </c>
      <c r="J18" s="3"/>
      <c r="K18" s="3">
        <f>SUM(K11:K17)</f>
        <v>10518602</v>
      </c>
      <c r="L18" s="3"/>
      <c r="M18" s="3">
        <f>SUM(M11:M17)</f>
        <v>9621256</v>
      </c>
    </row>
    <row r="19" spans="2:13" ht="12">
      <c r="B19" t="s">
        <v>311</v>
      </c>
      <c r="G19" s="60">
        <f>-'Sched 3-B'!F43</f>
        <v>5110844</v>
      </c>
      <c r="H19" s="19"/>
      <c r="I19" s="60">
        <f>-'Sched 3-B'!R43</f>
        <v>5274897</v>
      </c>
      <c r="J19" s="19"/>
      <c r="K19" s="60">
        <v>4870151</v>
      </c>
      <c r="L19" s="19"/>
      <c r="M19" s="60">
        <v>4653751</v>
      </c>
    </row>
    <row r="20" spans="7:13" ht="12">
      <c r="G20" s="3"/>
      <c r="H20" s="3"/>
      <c r="I20" s="3"/>
      <c r="J20" s="3"/>
      <c r="K20" s="3"/>
      <c r="L20" s="3"/>
      <c r="M20" s="3"/>
    </row>
    <row r="21" spans="2:13" ht="12">
      <c r="B21" t="s">
        <v>478</v>
      </c>
      <c r="G21" s="4">
        <f>G18-G19</f>
        <v>5525043</v>
      </c>
      <c r="H21" s="12"/>
      <c r="I21" s="4">
        <f>I18-I19</f>
        <v>5335040</v>
      </c>
      <c r="J21" s="12"/>
      <c r="K21" s="4">
        <f>K18-K19</f>
        <v>5648451</v>
      </c>
      <c r="L21" s="12"/>
      <c r="M21" s="4">
        <f>M18-M19</f>
        <v>4967505</v>
      </c>
    </row>
    <row r="22" spans="7:13" ht="12">
      <c r="G22" s="3"/>
      <c r="H22" s="3"/>
      <c r="I22" s="3"/>
      <c r="J22" s="3"/>
      <c r="K22" s="3"/>
      <c r="L22" s="3"/>
      <c r="M22" s="3"/>
    </row>
    <row r="23" spans="1:13" ht="12">
      <c r="A23" t="s">
        <v>479</v>
      </c>
      <c r="G23" s="3"/>
      <c r="H23" s="3"/>
      <c r="I23" s="3"/>
      <c r="J23" s="3"/>
      <c r="K23" s="3"/>
      <c r="L23" s="3"/>
      <c r="M23" s="3"/>
    </row>
    <row r="24" spans="2:13" ht="12">
      <c r="B24" t="s">
        <v>313</v>
      </c>
      <c r="G24" s="3">
        <v>0</v>
      </c>
      <c r="H24" s="3"/>
      <c r="I24" s="3">
        <v>0</v>
      </c>
      <c r="J24" s="3"/>
      <c r="K24" s="3">
        <v>0</v>
      </c>
      <c r="L24" s="3"/>
      <c r="M24" s="3">
        <v>0</v>
      </c>
    </row>
    <row r="25" spans="2:13" ht="12">
      <c r="B25" t="s">
        <v>4</v>
      </c>
      <c r="G25" s="3">
        <v>969349</v>
      </c>
      <c r="H25" s="16"/>
      <c r="I25" s="3">
        <v>897215</v>
      </c>
      <c r="J25" s="16"/>
      <c r="K25" s="3">
        <f>791665+3868+10082</f>
        <v>805615</v>
      </c>
      <c r="L25" s="16"/>
      <c r="M25" s="3">
        <v>928425</v>
      </c>
    </row>
    <row r="26" spans="2:13" ht="12">
      <c r="B26" t="s">
        <v>496</v>
      </c>
      <c r="G26" s="3">
        <f>2A!J17</f>
        <v>367707</v>
      </c>
      <c r="H26" s="16"/>
      <c r="I26" s="3">
        <f>'Sched 3-B'!F52</f>
        <v>326339</v>
      </c>
      <c r="J26" s="16"/>
      <c r="K26" s="3">
        <v>320690</v>
      </c>
      <c r="L26" s="16"/>
      <c r="M26" s="3">
        <v>326619</v>
      </c>
    </row>
    <row r="27" spans="2:13" ht="12">
      <c r="B27" t="s">
        <v>385</v>
      </c>
      <c r="G27" s="3">
        <f>'Sched 3-B'!R54</f>
        <v>40296</v>
      </c>
      <c r="H27" s="16"/>
      <c r="I27" s="3">
        <f>'Sched 3-B'!F54</f>
        <v>70278</v>
      </c>
      <c r="J27" s="16"/>
      <c r="K27" s="3">
        <v>58896</v>
      </c>
      <c r="L27" s="16"/>
      <c r="M27" s="3">
        <v>74666</v>
      </c>
    </row>
    <row r="28" spans="2:13" ht="12">
      <c r="B28" t="s">
        <v>304</v>
      </c>
      <c r="F28" t="s">
        <v>142</v>
      </c>
      <c r="G28" s="60">
        <v>0</v>
      </c>
      <c r="H28" s="19"/>
      <c r="I28" s="60">
        <v>0</v>
      </c>
      <c r="J28" s="19"/>
      <c r="K28" s="60">
        <v>18433</v>
      </c>
      <c r="L28" s="19"/>
      <c r="M28" s="60">
        <v>20032</v>
      </c>
    </row>
    <row r="29" spans="7:13" ht="12">
      <c r="G29" s="3"/>
      <c r="H29" s="3"/>
      <c r="I29" s="3"/>
      <c r="J29" s="3"/>
      <c r="K29" s="3"/>
      <c r="L29" s="3"/>
      <c r="M29" s="3"/>
    </row>
    <row r="30" spans="2:13" ht="12">
      <c r="B30" t="s">
        <v>386</v>
      </c>
      <c r="G30" s="4">
        <f>SUM(G24:G28)</f>
        <v>1377352</v>
      </c>
      <c r="H30" s="12"/>
      <c r="I30" s="4">
        <f>SUM(I24:I28)</f>
        <v>1293832</v>
      </c>
      <c r="J30" s="12"/>
      <c r="K30" s="4">
        <f>SUM(K24:K28)</f>
        <v>1203634</v>
      </c>
      <c r="L30" s="12"/>
      <c r="M30" s="4">
        <f>SUM(M24:M28)</f>
        <v>1349742</v>
      </c>
    </row>
    <row r="31" spans="7:13" ht="12">
      <c r="G31" s="3"/>
      <c r="H31" s="3"/>
      <c r="I31" s="3"/>
      <c r="J31" s="3"/>
      <c r="K31" s="3"/>
      <c r="L31" s="3"/>
      <c r="M31" s="3"/>
    </row>
    <row r="32" spans="1:13" ht="12">
      <c r="A32" t="s">
        <v>545</v>
      </c>
      <c r="G32" s="3"/>
      <c r="H32" s="3"/>
      <c r="I32" s="3"/>
      <c r="J32" s="3"/>
      <c r="K32" s="3"/>
      <c r="L32" s="3"/>
      <c r="M32" s="3"/>
    </row>
    <row r="33" spans="2:13" ht="12">
      <c r="B33" t="s">
        <v>109</v>
      </c>
      <c r="G33" s="3"/>
      <c r="H33" s="3"/>
      <c r="I33" s="3"/>
      <c r="J33" s="3"/>
      <c r="K33" s="3">
        <v>1639</v>
      </c>
      <c r="L33" s="3"/>
      <c r="M33" s="3">
        <v>2576</v>
      </c>
    </row>
    <row r="34" spans="2:13" ht="12">
      <c r="B34" t="s">
        <v>200</v>
      </c>
      <c r="G34" s="4">
        <v>440446</v>
      </c>
      <c r="H34" s="3"/>
      <c r="I34" s="4">
        <v>226829</v>
      </c>
      <c r="J34" s="3"/>
      <c r="K34" s="4">
        <v>299208</v>
      </c>
      <c r="L34" s="3"/>
      <c r="M34" s="4">
        <v>135986</v>
      </c>
    </row>
    <row r="35" spans="7:13" ht="12">
      <c r="G35" s="82">
        <f>SUM(G33:G34)</f>
        <v>440446</v>
      </c>
      <c r="H35" s="3"/>
      <c r="I35" s="82">
        <f>SUM(I33:I34)</f>
        <v>226829</v>
      </c>
      <c r="J35" s="3"/>
      <c r="K35" s="82">
        <f>SUM(K33:K34)</f>
        <v>300847</v>
      </c>
      <c r="L35" s="3"/>
      <c r="M35" s="82">
        <f>SUM(M33:M34)</f>
        <v>138562</v>
      </c>
    </row>
    <row r="36" spans="7:13" ht="12">
      <c r="G36" s="3"/>
      <c r="H36" s="3"/>
      <c r="I36" s="3"/>
      <c r="J36" s="3"/>
      <c r="K36" s="3"/>
      <c r="L36" s="3"/>
      <c r="M36" s="3"/>
    </row>
    <row r="37" spans="1:13" s="34" customFormat="1" ht="12.75" thickBot="1">
      <c r="A37" s="34" t="s">
        <v>387</v>
      </c>
      <c r="G37" s="84">
        <f>G30+G21+G35</f>
        <v>7342841</v>
      </c>
      <c r="H37" s="85"/>
      <c r="I37" s="84">
        <f>I30+I21+I35</f>
        <v>6855701</v>
      </c>
      <c r="J37" s="85"/>
      <c r="K37" s="84">
        <f>K30+K21+K35</f>
        <v>7152932</v>
      </c>
      <c r="L37" s="85"/>
      <c r="M37" s="84">
        <f>M30+M21+M35</f>
        <v>6455809</v>
      </c>
    </row>
    <row r="38" spans="7:13" ht="12.75" thickTop="1">
      <c r="G38" s="3"/>
      <c r="H38" s="3"/>
      <c r="I38" s="3"/>
      <c r="J38" s="3"/>
      <c r="K38" s="3"/>
      <c r="L38" s="3"/>
      <c r="M38" s="3"/>
    </row>
    <row r="40" spans="2:13" ht="12.75">
      <c r="B40" s="65" t="s">
        <v>368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t="s">
        <v>259</v>
      </c>
    </row>
    <row r="41" spans="2:13" ht="12">
      <c r="B41" t="s">
        <v>10</v>
      </c>
      <c r="C41" s="50"/>
      <c r="D41" s="50"/>
      <c r="E41" s="50"/>
      <c r="F41" s="50"/>
      <c r="G41" s="50"/>
      <c r="H41" s="50"/>
      <c r="I41" s="1"/>
      <c r="J41" s="50"/>
      <c r="K41" s="50"/>
      <c r="L41" s="50"/>
      <c r="M41" t="s">
        <v>388</v>
      </c>
    </row>
    <row r="42" spans="2:12" ht="12">
      <c r="B42" s="1"/>
      <c r="C42" s="1"/>
      <c r="D42" s="1"/>
      <c r="E42" s="1"/>
      <c r="F42" s="1"/>
      <c r="G42" s="1"/>
      <c r="H42" s="1"/>
      <c r="I42" s="1" t="s">
        <v>143</v>
      </c>
      <c r="J42" s="1"/>
      <c r="K42" s="1"/>
      <c r="L42" s="1"/>
    </row>
    <row r="43" spans="2:12" ht="12">
      <c r="B43" s="1"/>
      <c r="C43" s="1"/>
      <c r="D43" s="1"/>
      <c r="E43" s="1"/>
      <c r="F43" s="1"/>
      <c r="G43" s="1"/>
      <c r="H43" s="1"/>
      <c r="I43" s="1" t="s">
        <v>214</v>
      </c>
      <c r="J43" s="1"/>
      <c r="K43" s="1"/>
      <c r="L43" s="1"/>
    </row>
    <row r="44" spans="2:12" ht="12">
      <c r="B44" s="1"/>
      <c r="C44" s="1"/>
      <c r="D44" s="1"/>
      <c r="E44" s="1"/>
      <c r="F44" s="1"/>
      <c r="G44" s="1"/>
      <c r="H44" s="1"/>
      <c r="I44" s="1" t="s">
        <v>7</v>
      </c>
      <c r="J44" s="1"/>
      <c r="K44" s="1"/>
      <c r="L44" s="1"/>
    </row>
    <row r="46" spans="7:13" ht="12">
      <c r="G46" s="11">
        <v>39813</v>
      </c>
      <c r="H46" s="59"/>
      <c r="I46" s="11">
        <v>39447</v>
      </c>
      <c r="J46" s="59"/>
      <c r="K46" s="11">
        <v>39082</v>
      </c>
      <c r="L46" s="59"/>
      <c r="M46" s="11">
        <v>38717</v>
      </c>
    </row>
    <row r="48" spans="1:13" ht="12">
      <c r="A48" t="s">
        <v>389</v>
      </c>
      <c r="G48" s="3"/>
      <c r="H48" s="3"/>
      <c r="I48" s="3"/>
      <c r="J48" s="3"/>
      <c r="K48" s="3"/>
      <c r="L48" s="3"/>
      <c r="M48" s="3"/>
    </row>
    <row r="49" spans="2:13" ht="12">
      <c r="B49" t="s">
        <v>445</v>
      </c>
      <c r="G49" s="7">
        <v>91200</v>
      </c>
      <c r="H49" s="7"/>
      <c r="I49" s="7">
        <v>91200</v>
      </c>
      <c r="J49" s="7"/>
      <c r="K49" s="7">
        <v>91200</v>
      </c>
      <c r="L49" s="7"/>
      <c r="M49" s="7">
        <v>91200</v>
      </c>
    </row>
    <row r="50" spans="2:13" ht="12">
      <c r="B50" t="s">
        <v>209</v>
      </c>
      <c r="G50" s="83">
        <v>220653</v>
      </c>
      <c r="H50" s="16"/>
      <c r="I50" s="83">
        <v>220653</v>
      </c>
      <c r="J50" s="77"/>
      <c r="K50" s="83">
        <v>220653</v>
      </c>
      <c r="L50" s="16"/>
      <c r="M50" s="83">
        <v>220653</v>
      </c>
    </row>
    <row r="51" spans="2:13" ht="12">
      <c r="B51" t="s">
        <v>538</v>
      </c>
      <c r="G51" s="17">
        <v>3190477</v>
      </c>
      <c r="H51" s="19"/>
      <c r="I51" s="17">
        <v>3467431</v>
      </c>
      <c r="J51" s="12"/>
      <c r="K51" s="17">
        <v>3327018</v>
      </c>
      <c r="L51" s="19"/>
      <c r="M51" s="17">
        <v>3625514</v>
      </c>
    </row>
    <row r="52" spans="7:13" ht="12">
      <c r="G52" s="3"/>
      <c r="H52" s="3"/>
      <c r="I52" s="3"/>
      <c r="J52" s="3"/>
      <c r="K52" s="3"/>
      <c r="L52" s="3"/>
      <c r="M52" s="3"/>
    </row>
    <row r="53" spans="2:13" ht="12">
      <c r="B53" t="s">
        <v>539</v>
      </c>
      <c r="G53" s="4">
        <f>SUM(G49:G52)</f>
        <v>3502330</v>
      </c>
      <c r="H53" s="12"/>
      <c r="I53" s="4">
        <f>SUM(I49:I52)</f>
        <v>3779284</v>
      </c>
      <c r="J53" s="12"/>
      <c r="K53" s="4">
        <f>SUM(K49:K52)</f>
        <v>3638871</v>
      </c>
      <c r="L53" s="12"/>
      <c r="M53" s="4">
        <f>SUM(M49:M52)</f>
        <v>3937367</v>
      </c>
    </row>
    <row r="54" spans="7:13" ht="12">
      <c r="G54" s="3"/>
      <c r="H54" s="3"/>
      <c r="I54" s="3"/>
      <c r="J54" s="3"/>
      <c r="K54" s="3"/>
      <c r="L54" s="3"/>
      <c r="M54" s="3"/>
    </row>
    <row r="55" spans="1:13" ht="12">
      <c r="A55" t="s">
        <v>275</v>
      </c>
      <c r="G55" s="3"/>
      <c r="H55" s="3"/>
      <c r="I55" s="3"/>
      <c r="J55" s="3"/>
      <c r="K55" s="3"/>
      <c r="L55" s="3"/>
      <c r="M55" s="3"/>
    </row>
    <row r="56" spans="2:13" ht="12">
      <c r="B56" t="s">
        <v>276</v>
      </c>
      <c r="G56" s="17">
        <f>'HISTORICAL CAPITAL STRUCTURE'!D15</f>
        <v>851001</v>
      </c>
      <c r="H56" s="19"/>
      <c r="I56" s="17">
        <f>'HISTORICAL CAPITAL STRUCTURE'!E15</f>
        <v>921081</v>
      </c>
      <c r="J56" s="19"/>
      <c r="K56" s="17">
        <v>989610</v>
      </c>
      <c r="L56" s="19"/>
      <c r="M56" s="17">
        <v>295143</v>
      </c>
    </row>
    <row r="57" spans="7:13" ht="12">
      <c r="G57" s="3"/>
      <c r="H57" s="3"/>
      <c r="I57" s="3"/>
      <c r="J57" s="3"/>
      <c r="K57" s="3"/>
      <c r="L57" s="3"/>
      <c r="M57" s="3"/>
    </row>
    <row r="58" spans="1:13" ht="12">
      <c r="A58" t="s">
        <v>350</v>
      </c>
      <c r="G58" s="3"/>
      <c r="H58" s="3"/>
      <c r="I58" s="3"/>
      <c r="J58" s="3"/>
      <c r="K58" s="3"/>
      <c r="L58" s="3"/>
      <c r="M58" s="3"/>
    </row>
    <row r="59" spans="2:13" ht="12">
      <c r="B59" t="s">
        <v>206</v>
      </c>
      <c r="G59" s="16">
        <f>'HISTORICAL CAPITAL STRUCTURE'!D17</f>
        <v>607000</v>
      </c>
      <c r="H59" s="16"/>
      <c r="I59" s="16">
        <f>'HISTORICAL CAPITAL STRUCTURE'!E17</f>
        <v>482500</v>
      </c>
      <c r="J59" s="16"/>
      <c r="K59" s="16">
        <v>504500</v>
      </c>
      <c r="L59" s="16"/>
      <c r="M59" s="16">
        <v>390500</v>
      </c>
    </row>
    <row r="60" spans="2:13" ht="12">
      <c r="B60" t="s">
        <v>207</v>
      </c>
      <c r="G60" s="16">
        <f>530225</f>
        <v>530225</v>
      </c>
      <c r="H60" s="16"/>
      <c r="I60" s="16">
        <f>477835</f>
        <v>477835</v>
      </c>
      <c r="J60" s="16"/>
      <c r="K60" s="16">
        <v>740116</v>
      </c>
      <c r="L60" s="16"/>
      <c r="M60" s="16">
        <v>558863</v>
      </c>
    </row>
    <row r="61" spans="2:13" ht="12">
      <c r="B61" t="s">
        <v>208</v>
      </c>
      <c r="G61" s="16">
        <v>70248</v>
      </c>
      <c r="H61" s="16"/>
      <c r="I61" s="16">
        <v>0</v>
      </c>
      <c r="J61" s="16"/>
      <c r="K61" s="16">
        <v>0</v>
      </c>
      <c r="L61" s="16"/>
      <c r="M61" s="16">
        <v>0</v>
      </c>
    </row>
    <row r="62" spans="2:13" ht="12">
      <c r="B62" t="s">
        <v>392</v>
      </c>
      <c r="G62" s="16">
        <f>-'Sched 3-B'!R58</f>
        <v>14044</v>
      </c>
      <c r="H62" s="16"/>
      <c r="I62" s="16">
        <f>-'Sched 3-B'!F58</f>
        <v>7755</v>
      </c>
      <c r="J62" s="16"/>
      <c r="K62" s="16">
        <v>2783</v>
      </c>
      <c r="L62" s="16"/>
      <c r="M62" s="16">
        <v>2354</v>
      </c>
    </row>
    <row r="63" spans="2:13" ht="12">
      <c r="B63" t="s">
        <v>144</v>
      </c>
      <c r="G63" s="16">
        <v>6138</v>
      </c>
      <c r="H63" s="16"/>
      <c r="I63" s="16"/>
      <c r="J63" s="16"/>
      <c r="K63" s="16"/>
      <c r="L63" s="16"/>
      <c r="M63" s="16"/>
    </row>
    <row r="64" spans="2:13" ht="12">
      <c r="B64" t="s">
        <v>225</v>
      </c>
      <c r="G64" s="16">
        <v>250558</v>
      </c>
      <c r="H64" s="16"/>
      <c r="I64" s="16">
        <v>70668</v>
      </c>
      <c r="J64" s="16"/>
      <c r="K64" s="16">
        <v>53530</v>
      </c>
      <c r="L64" s="16"/>
      <c r="M64" s="16">
        <v>89311</v>
      </c>
    </row>
    <row r="65" spans="2:13" ht="12">
      <c r="B65" t="s">
        <v>401</v>
      </c>
      <c r="G65" s="16">
        <v>40025</v>
      </c>
      <c r="H65" s="16"/>
      <c r="I65" s="16">
        <v>34556</v>
      </c>
      <c r="J65" s="16"/>
      <c r="K65" s="16">
        <v>26472</v>
      </c>
      <c r="L65" s="16"/>
      <c r="M65" s="16">
        <v>19312</v>
      </c>
    </row>
    <row r="66" spans="2:13" ht="12">
      <c r="B66" t="s">
        <v>153</v>
      </c>
      <c r="G66" s="17">
        <v>0</v>
      </c>
      <c r="H66" s="12"/>
      <c r="I66" s="17">
        <v>0</v>
      </c>
      <c r="J66" s="12"/>
      <c r="K66" s="17">
        <v>0</v>
      </c>
      <c r="L66" s="12"/>
      <c r="M66" s="17">
        <v>0</v>
      </c>
    </row>
    <row r="67" spans="7:13" ht="12">
      <c r="G67" s="3"/>
      <c r="H67" s="3"/>
      <c r="I67" s="3"/>
      <c r="J67" s="3"/>
      <c r="K67" s="3"/>
      <c r="L67" s="3"/>
      <c r="M67" s="3"/>
    </row>
    <row r="68" spans="2:13" ht="12">
      <c r="B68" t="s">
        <v>166</v>
      </c>
      <c r="G68" s="4">
        <f>SUM(G59:G67)</f>
        <v>1518238</v>
      </c>
      <c r="H68" s="12"/>
      <c r="I68" s="4">
        <f>SUM(I59:I67)</f>
        <v>1073314</v>
      </c>
      <c r="J68" s="12"/>
      <c r="K68" s="4">
        <f>SUM(K59:K67)</f>
        <v>1327401</v>
      </c>
      <c r="L68" s="12"/>
      <c r="M68" s="4">
        <f>SUM(M59:M67)</f>
        <v>1060340</v>
      </c>
    </row>
    <row r="69" spans="7:13" ht="12">
      <c r="G69" s="3"/>
      <c r="H69" s="3"/>
      <c r="I69" s="3"/>
      <c r="J69" s="3"/>
      <c r="K69" s="3"/>
      <c r="L69" s="3"/>
      <c r="M69" s="3"/>
    </row>
    <row r="70" spans="1:13" ht="12">
      <c r="A70" t="s">
        <v>167</v>
      </c>
      <c r="G70" s="3"/>
      <c r="H70" s="3"/>
      <c r="I70" s="3"/>
      <c r="J70" s="3"/>
      <c r="K70" s="3"/>
      <c r="L70" s="3"/>
      <c r="M70" s="3"/>
    </row>
    <row r="71" spans="2:13" ht="12">
      <c r="B71" t="s">
        <v>30</v>
      </c>
      <c r="G71" s="17">
        <f>-'Sched 3-B'!R56</f>
        <v>1135035</v>
      </c>
      <c r="H71" s="19"/>
      <c r="I71" s="17">
        <f>-'Sched 3-B'!F56</f>
        <v>1125281</v>
      </c>
      <c r="J71" s="19"/>
      <c r="K71" s="17">
        <v>1078994</v>
      </c>
      <c r="L71" s="19"/>
      <c r="M71" s="17">
        <v>1042405</v>
      </c>
    </row>
    <row r="72" spans="7:13" ht="12">
      <c r="G72" s="12"/>
      <c r="H72" s="12"/>
      <c r="I72" s="12"/>
      <c r="J72" s="12"/>
      <c r="K72" s="12"/>
      <c r="L72" s="12"/>
      <c r="M72" s="12"/>
    </row>
    <row r="73" spans="1:13" ht="12">
      <c r="A73" t="s">
        <v>448</v>
      </c>
      <c r="G73" s="12"/>
      <c r="H73" s="12"/>
      <c r="I73" s="12"/>
      <c r="J73" s="12"/>
      <c r="K73" s="12"/>
      <c r="L73" s="12"/>
      <c r="M73" s="12"/>
    </row>
    <row r="74" spans="2:13" ht="12">
      <c r="B74" t="s">
        <v>379</v>
      </c>
      <c r="G74" s="16">
        <v>0</v>
      </c>
      <c r="H74" s="19"/>
      <c r="I74" s="16">
        <v>0</v>
      </c>
      <c r="J74" s="19"/>
      <c r="K74" s="16">
        <v>7070</v>
      </c>
      <c r="L74" s="19"/>
      <c r="M74" s="16">
        <v>6550</v>
      </c>
    </row>
    <row r="75" spans="2:13" ht="12">
      <c r="B75" t="s">
        <v>326</v>
      </c>
      <c r="G75" s="16">
        <v>171975</v>
      </c>
      <c r="H75" s="16"/>
      <c r="I75" s="16">
        <v>171975</v>
      </c>
      <c r="J75" s="16"/>
      <c r="K75" s="16">
        <v>171975</v>
      </c>
      <c r="L75" s="16"/>
      <c r="M75" s="16">
        <v>171975</v>
      </c>
    </row>
    <row r="76" spans="2:13" ht="12">
      <c r="B76" t="s">
        <v>326</v>
      </c>
      <c r="G76" s="17">
        <f>-'Sched 3-B'!R61</f>
        <v>-67025</v>
      </c>
      <c r="H76" s="19"/>
      <c r="I76" s="17">
        <f>-'Sched 3-B'!F61</f>
        <v>-64007</v>
      </c>
      <c r="J76" s="19"/>
      <c r="K76" s="17">
        <v>-60989</v>
      </c>
      <c r="L76" s="19"/>
      <c r="M76" s="17">
        <v>-57971</v>
      </c>
    </row>
    <row r="77" spans="7:13" ht="12">
      <c r="G77" s="3"/>
      <c r="H77" s="3"/>
      <c r="I77" s="3"/>
      <c r="J77" s="3"/>
      <c r="K77" s="3"/>
      <c r="L77" s="3"/>
      <c r="M77" s="3"/>
    </row>
    <row r="78" spans="2:13" ht="12">
      <c r="B78" t="s">
        <v>14</v>
      </c>
      <c r="G78" s="4">
        <f>SUM(G74:G76)</f>
        <v>104950</v>
      </c>
      <c r="H78" s="12"/>
      <c r="I78" s="4">
        <f>SUM(I74:I76)</f>
        <v>107968</v>
      </c>
      <c r="J78" s="12"/>
      <c r="K78" s="4">
        <f>SUM(K74:K76)</f>
        <v>118056</v>
      </c>
      <c r="L78" s="12"/>
      <c r="M78" s="4">
        <f>SUM(M74:M76)</f>
        <v>120554</v>
      </c>
    </row>
    <row r="79" spans="7:13" ht="12">
      <c r="G79" s="3"/>
      <c r="H79" s="3"/>
      <c r="I79" s="3"/>
      <c r="J79" s="3"/>
      <c r="K79" s="3"/>
      <c r="L79" s="3"/>
      <c r="M79" s="3"/>
    </row>
    <row r="80" spans="1:13" s="34" customFormat="1" ht="12.75" thickBot="1">
      <c r="A80" s="34" t="s">
        <v>15</v>
      </c>
      <c r="G80" s="84">
        <f>G53+G56+G68+G71+G78</f>
        <v>7111554</v>
      </c>
      <c r="H80" s="85"/>
      <c r="I80" s="84">
        <f>I53+I56+I68+I71+I78</f>
        <v>7006928</v>
      </c>
      <c r="J80" s="85"/>
      <c r="K80" s="84">
        <f>K53+K56+K68+K71+K78</f>
        <v>7152932</v>
      </c>
      <c r="L80" s="85"/>
      <c r="M80" s="84">
        <f>M53+M56+M68+M71+M78</f>
        <v>6455809</v>
      </c>
    </row>
    <row r="81" spans="7:13" ht="12.75" thickTop="1">
      <c r="G81" s="3"/>
      <c r="H81" s="3"/>
      <c r="I81" s="3"/>
      <c r="J81" s="3"/>
      <c r="K81" s="3"/>
      <c r="L81" s="3"/>
      <c r="M81" s="3"/>
    </row>
  </sheetData>
  <printOptions/>
  <pageMargins left="0.42" right="0.42" top="0.6666666666666666" bottom="0.55" header="0.4027777777777778" footer="0.35"/>
  <pageSetup horizontalDpi="300" verticalDpi="300" orientation="landscape"/>
  <rowBreaks count="1" manualBreakCount="1">
    <brk id="3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17"/>
  <sheetViews>
    <sheetView workbookViewId="0" topLeftCell="A1">
      <selection activeCell="B4" sqref="B4"/>
    </sheetView>
  </sheetViews>
  <sheetFormatPr defaultColWidth="8.8515625" defaultRowHeight="12.75"/>
  <cols>
    <col min="1" max="1" width="5.140625" style="0" customWidth="1"/>
    <col min="3" max="3" width="2.140625" style="0" customWidth="1"/>
    <col min="4" max="4" width="0.13671875" style="0" customWidth="1"/>
    <col min="5" max="5" width="1.7109375" style="0" hidden="1" customWidth="1"/>
    <col min="6" max="6" width="4.8515625" style="0" customWidth="1"/>
    <col min="7" max="7" width="2.140625" style="0" customWidth="1"/>
    <col min="8" max="8" width="3.00390625" style="0" customWidth="1"/>
    <col min="10" max="10" width="12.421875" style="0" bestFit="1" customWidth="1"/>
  </cols>
  <sheetData>
    <row r="3" spans="2:11" ht="12.75">
      <c r="B3" s="65" t="s">
        <v>368</v>
      </c>
      <c r="K3" t="s">
        <v>559</v>
      </c>
    </row>
    <row r="4" ht="12">
      <c r="B4" t="s">
        <v>10</v>
      </c>
    </row>
    <row r="5" spans="4:11" ht="12">
      <c r="D5" s="1"/>
      <c r="E5" s="1"/>
      <c r="F5" s="1"/>
      <c r="G5" s="1"/>
      <c r="H5" s="1"/>
      <c r="I5" s="1"/>
      <c r="J5" s="1"/>
      <c r="K5" s="1"/>
    </row>
    <row r="6" spans="3:11" ht="12">
      <c r="C6" s="50"/>
      <c r="D6" s="50"/>
      <c r="E6" s="50"/>
      <c r="F6" s="50"/>
      <c r="G6" s="50"/>
      <c r="H6" s="50"/>
      <c r="I6" s="50"/>
      <c r="J6" s="50"/>
      <c r="K6" s="50"/>
    </row>
    <row r="7" spans="4:11" ht="12">
      <c r="D7" s="1"/>
      <c r="E7" s="1"/>
      <c r="F7" s="1"/>
      <c r="G7" s="1"/>
      <c r="H7" s="1"/>
      <c r="I7" s="1" t="s">
        <v>397</v>
      </c>
      <c r="J7" s="1"/>
      <c r="K7" s="1"/>
    </row>
    <row r="8" spans="4:11" ht="12">
      <c r="D8" s="1"/>
      <c r="E8" s="1"/>
      <c r="F8" s="1"/>
      <c r="G8" s="1"/>
      <c r="H8" s="1"/>
      <c r="I8" s="1" t="s">
        <v>7</v>
      </c>
      <c r="J8" s="1"/>
      <c r="K8" s="1"/>
    </row>
    <row r="13" spans="2:10" ht="12">
      <c r="B13" t="s">
        <v>398</v>
      </c>
      <c r="J13" s="7">
        <f>'Sched 3-B'!R48</f>
        <v>82532</v>
      </c>
    </row>
    <row r="14" spans="2:10" ht="12">
      <c r="B14" t="s">
        <v>319</v>
      </c>
      <c r="J14" s="7">
        <f>'Sched 3-B'!R49</f>
        <v>236831</v>
      </c>
    </row>
    <row r="15" spans="2:10" ht="12">
      <c r="B15" t="s">
        <v>149</v>
      </c>
      <c r="J15" s="7">
        <f>'Sched 3-B'!R50</f>
        <v>41655</v>
      </c>
    </row>
    <row r="16" spans="2:10" ht="12">
      <c r="B16" t="s">
        <v>318</v>
      </c>
      <c r="J16" s="7">
        <f>'Sched 3-B'!R51</f>
        <v>6689</v>
      </c>
    </row>
    <row r="17" ht="12.75" thickBot="1">
      <c r="J17" s="8">
        <f>SUM(J13:J16)</f>
        <v>367707</v>
      </c>
    </row>
    <row r="18" ht="12.75" thickTop="1"/>
  </sheetData>
  <printOptions/>
  <pageMargins left="1.34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7">
      <selection activeCell="H2" sqref="H2"/>
    </sheetView>
  </sheetViews>
  <sheetFormatPr defaultColWidth="10.28125" defaultRowHeight="12.75"/>
  <cols>
    <col min="1" max="1" width="4.7109375" style="0" customWidth="1"/>
    <col min="2" max="2" width="4.8515625" style="0" customWidth="1"/>
    <col min="3" max="3" width="22.421875" style="0" customWidth="1"/>
    <col min="4" max="4" width="13.8515625" style="0" customWidth="1"/>
    <col min="5" max="5" width="2.00390625" style="0" customWidth="1"/>
    <col min="6" max="6" width="12.7109375" style="0" customWidth="1"/>
    <col min="7" max="7" width="2.140625" style="0" customWidth="1"/>
    <col min="8" max="8" width="13.8515625" style="0" customWidth="1"/>
    <col min="9" max="9" width="3.8515625" style="0" customWidth="1"/>
  </cols>
  <sheetData>
    <row r="1" spans="2:8" ht="12">
      <c r="B1" s="213" t="s">
        <v>99</v>
      </c>
      <c r="C1" s="213"/>
      <c r="D1" s="205"/>
      <c r="E1" s="205"/>
      <c r="F1" s="205"/>
      <c r="H1" t="s">
        <v>510</v>
      </c>
    </row>
    <row r="2" ht="12">
      <c r="B2" t="s">
        <v>509</v>
      </c>
    </row>
    <row r="3" spans="3:8" ht="12">
      <c r="C3" s="155"/>
      <c r="D3" s="155" t="s">
        <v>390</v>
      </c>
      <c r="E3" s="155"/>
      <c r="F3" s="155"/>
      <c r="G3" s="155"/>
      <c r="H3" s="155"/>
    </row>
    <row r="4" spans="3:8" ht="12">
      <c r="C4" s="155"/>
      <c r="D4" s="156" t="s">
        <v>512</v>
      </c>
      <c r="E4" s="155"/>
      <c r="F4" s="155"/>
      <c r="G4" s="155"/>
      <c r="H4" s="155"/>
    </row>
    <row r="5" spans="2:8" ht="12">
      <c r="B5" s="50"/>
      <c r="C5" s="1"/>
      <c r="D5" s="1"/>
      <c r="E5" s="1"/>
      <c r="F5" s="1"/>
      <c r="G5" s="1"/>
      <c r="H5" s="1"/>
    </row>
    <row r="6" spans="4:8" ht="12">
      <c r="D6" s="1"/>
      <c r="E6" s="1"/>
      <c r="F6" s="1" t="s">
        <v>112</v>
      </c>
      <c r="G6" s="1"/>
      <c r="H6" s="1"/>
    </row>
    <row r="7" spans="6:8" ht="12">
      <c r="F7" s="1" t="s">
        <v>557</v>
      </c>
      <c r="G7" s="1"/>
      <c r="H7" s="1"/>
    </row>
    <row r="8" spans="4:8" ht="12.75">
      <c r="D8" s="1" t="s">
        <v>182</v>
      </c>
      <c r="E8" s="1"/>
      <c r="F8" s="157" t="s">
        <v>181</v>
      </c>
      <c r="G8" s="1"/>
      <c r="H8" s="1" t="s">
        <v>184</v>
      </c>
    </row>
    <row r="9" spans="4:8" ht="12.75">
      <c r="D9" s="158">
        <v>39813</v>
      </c>
      <c r="E9" s="158"/>
      <c r="F9" s="157" t="s">
        <v>183</v>
      </c>
      <c r="G9" s="1"/>
      <c r="H9" s="158">
        <v>39813</v>
      </c>
    </row>
    <row r="10" spans="1:6" ht="12.75">
      <c r="A10" t="s">
        <v>558</v>
      </c>
      <c r="F10" s="157"/>
    </row>
    <row r="12" spans="2:8" ht="12">
      <c r="B12" t="s">
        <v>438</v>
      </c>
      <c r="D12" s="143">
        <f>'Sched 1'!D12</f>
        <v>2053949.11</v>
      </c>
      <c r="E12" s="144"/>
      <c r="F12" s="144"/>
      <c r="G12" s="144"/>
      <c r="H12" s="143">
        <f>D12+F12</f>
        <v>2053949.11</v>
      </c>
    </row>
    <row r="13" spans="2:8" ht="12">
      <c r="B13" t="s">
        <v>439</v>
      </c>
      <c r="D13" s="143">
        <f>'Sched 1'!D13</f>
        <v>2281128.46</v>
      </c>
      <c r="E13" s="144"/>
      <c r="F13" s="144"/>
      <c r="G13" s="144"/>
      <c r="H13" s="144">
        <f>D13+F13</f>
        <v>2281128.46</v>
      </c>
    </row>
    <row r="14" spans="2:8" ht="12">
      <c r="B14" t="s">
        <v>69</v>
      </c>
      <c r="D14" s="143">
        <f>'Sched 1'!D14</f>
        <v>31900</v>
      </c>
      <c r="E14" s="144"/>
      <c r="F14" s="144"/>
      <c r="G14" s="144"/>
      <c r="H14" s="144">
        <f>D14+F14</f>
        <v>31900</v>
      </c>
    </row>
    <row r="15" spans="4:8" ht="12">
      <c r="D15" s="143">
        <f>'Sched 1'!D15</f>
        <v>150827</v>
      </c>
      <c r="E15" s="144"/>
      <c r="F15" s="144"/>
      <c r="G15" s="144"/>
      <c r="H15" s="144">
        <f>D15+F15</f>
        <v>150827</v>
      </c>
    </row>
    <row r="16" spans="2:8" ht="12">
      <c r="B16" t="s">
        <v>70</v>
      </c>
      <c r="D16" s="159">
        <f>'Sched 1'!D16</f>
        <v>267637</v>
      </c>
      <c r="F16" s="145"/>
      <c r="G16" s="144"/>
      <c r="H16" s="145">
        <f>D16+F16</f>
        <v>267637</v>
      </c>
    </row>
    <row r="17" spans="4:8" ht="12">
      <c r="D17" s="144"/>
      <c r="F17" s="144"/>
      <c r="G17" s="144"/>
      <c r="H17" s="144"/>
    </row>
    <row r="18" spans="3:9" ht="12">
      <c r="C18" t="s">
        <v>71</v>
      </c>
      <c r="D18" s="145">
        <f>SUM(D12:D16)</f>
        <v>4785441.57</v>
      </c>
      <c r="F18" s="145">
        <f>SUM(F12:F16)</f>
        <v>0</v>
      </c>
      <c r="G18" s="144"/>
      <c r="H18" s="145">
        <f>SUM(H12:H16)</f>
        <v>4785441.57</v>
      </c>
      <c r="I18" s="144"/>
    </row>
    <row r="19" spans="4:8" ht="12">
      <c r="D19" s="144"/>
      <c r="F19" s="144"/>
      <c r="G19" s="144"/>
      <c r="H19" s="144"/>
    </row>
    <row r="20" spans="1:8" ht="12">
      <c r="A20" t="s">
        <v>281</v>
      </c>
      <c r="D20" s="144"/>
      <c r="E20" s="144"/>
      <c r="F20" s="144"/>
      <c r="G20" s="144"/>
      <c r="H20" s="144"/>
    </row>
    <row r="21" spans="2:8" ht="12">
      <c r="B21" t="s">
        <v>282</v>
      </c>
      <c r="D21" s="144"/>
      <c r="E21" s="144"/>
      <c r="F21" s="144"/>
      <c r="G21" s="144"/>
      <c r="H21" s="144"/>
    </row>
    <row r="22" spans="3:8" ht="12">
      <c r="C22" t="s">
        <v>164</v>
      </c>
      <c r="D22" s="144">
        <f>'Sched 1'!D22</f>
        <v>2220872</v>
      </c>
      <c r="E22" s="144"/>
      <c r="F22" s="144">
        <f>'Sched 1'!E22</f>
        <v>0</v>
      </c>
      <c r="G22" s="144"/>
      <c r="H22" s="144">
        <f>D22+F22</f>
        <v>2220872</v>
      </c>
    </row>
    <row r="23" spans="3:8" ht="12">
      <c r="C23" t="s">
        <v>70</v>
      </c>
      <c r="D23" s="144">
        <f>'Sched 1'!D23</f>
        <v>1412090</v>
      </c>
      <c r="E23" s="144"/>
      <c r="F23" s="144"/>
      <c r="G23" s="144"/>
      <c r="H23" s="144">
        <f>D23+F23</f>
        <v>1412090</v>
      </c>
    </row>
    <row r="24" spans="3:8" ht="12">
      <c r="C24" s="131"/>
      <c r="D24" s="144"/>
      <c r="E24" s="144"/>
      <c r="F24" s="144">
        <f>'Sched 1'!E24</f>
        <v>0</v>
      </c>
      <c r="G24" s="144"/>
      <c r="H24" s="144"/>
    </row>
    <row r="25" spans="2:8" ht="12">
      <c r="B25" t="s">
        <v>394</v>
      </c>
      <c r="D25" s="144">
        <f>'Sched 1'!D25</f>
        <v>215660</v>
      </c>
      <c r="E25" s="144"/>
      <c r="F25" s="144">
        <f>'Sched 1'!E25</f>
        <v>0</v>
      </c>
      <c r="G25" s="144"/>
      <c r="H25" s="144">
        <f aca="true" t="shared" si="0" ref="H25:H30">D25+F25</f>
        <v>215660</v>
      </c>
    </row>
    <row r="26" spans="2:8" ht="12">
      <c r="B26" t="s">
        <v>395</v>
      </c>
      <c r="D26" s="144">
        <f>'Sched 1'!D26</f>
        <v>53977</v>
      </c>
      <c r="E26" s="144"/>
      <c r="F26" s="144">
        <f>'Sched 1'!E26</f>
        <v>0</v>
      </c>
      <c r="G26" s="144"/>
      <c r="H26" s="144">
        <f t="shared" si="0"/>
        <v>53977</v>
      </c>
    </row>
    <row r="27" spans="2:8" ht="12">
      <c r="B27" t="s">
        <v>287</v>
      </c>
      <c r="D27" s="144">
        <f>'Sched 1'!D27</f>
        <v>4933</v>
      </c>
      <c r="E27" s="144"/>
      <c r="F27" s="144">
        <f>'Sched 1'!E27</f>
        <v>0</v>
      </c>
      <c r="G27" s="144"/>
      <c r="H27" s="144">
        <f t="shared" si="0"/>
        <v>4933</v>
      </c>
    </row>
    <row r="28" spans="2:8" ht="12">
      <c r="B28" t="s">
        <v>340</v>
      </c>
      <c r="D28" s="144">
        <f>'Sched 1'!D28</f>
        <v>624991</v>
      </c>
      <c r="E28" s="144"/>
      <c r="F28" s="144"/>
      <c r="G28" s="144"/>
      <c r="H28" s="144">
        <f t="shared" si="0"/>
        <v>624991</v>
      </c>
    </row>
    <row r="29" spans="2:8" ht="12">
      <c r="B29" t="s">
        <v>62</v>
      </c>
      <c r="D29" s="144">
        <f>'Sched 1'!D45</f>
        <v>425</v>
      </c>
      <c r="E29" s="144"/>
      <c r="F29" s="144">
        <f>'Sched 1'!E45</f>
        <v>0</v>
      </c>
      <c r="G29" s="144"/>
      <c r="H29" s="144">
        <f t="shared" si="0"/>
        <v>425</v>
      </c>
    </row>
    <row r="30" spans="2:8" ht="12">
      <c r="B30" t="s">
        <v>61</v>
      </c>
      <c r="D30" s="144">
        <f>'Sched 1'!D29</f>
        <v>722</v>
      </c>
      <c r="E30" s="144"/>
      <c r="F30" s="144">
        <f>'Sched 1'!E29</f>
        <v>0</v>
      </c>
      <c r="G30" s="144"/>
      <c r="H30" s="144">
        <f t="shared" si="0"/>
        <v>722</v>
      </c>
    </row>
    <row r="31" spans="2:8" ht="12">
      <c r="B31" t="s">
        <v>288</v>
      </c>
      <c r="D31" s="144">
        <f>'Sched 1'!D30</f>
        <v>0</v>
      </c>
      <c r="E31" s="144"/>
      <c r="F31" s="144">
        <f>'Sched 1'!E30</f>
        <v>0</v>
      </c>
      <c r="G31" s="144"/>
      <c r="H31" s="144">
        <f>D31+F31</f>
        <v>0</v>
      </c>
    </row>
    <row r="32" spans="3:8" ht="12">
      <c r="C32" t="s">
        <v>466</v>
      </c>
      <c r="D32" s="144">
        <f>'Sched 1'!D31</f>
        <v>-194752</v>
      </c>
      <c r="F32" s="144"/>
      <c r="G32" s="144"/>
      <c r="H32" s="144">
        <f>D32+F32</f>
        <v>-194752</v>
      </c>
    </row>
    <row r="33" spans="3:8" ht="12">
      <c r="C33" t="s">
        <v>491</v>
      </c>
      <c r="D33" s="144">
        <f>'Sched 1'!D32</f>
        <v>152508</v>
      </c>
      <c r="F33" s="144"/>
      <c r="G33" s="144"/>
      <c r="H33" s="144">
        <f>D33+F33</f>
        <v>152508</v>
      </c>
    </row>
    <row r="34" spans="2:9" ht="12">
      <c r="B34" t="s">
        <v>378</v>
      </c>
      <c r="D34" s="144">
        <f>'Sched 1'!D33</f>
        <v>245336</v>
      </c>
      <c r="F34" s="144">
        <f>'Sched 1'!E33</f>
        <v>0</v>
      </c>
      <c r="G34" s="144"/>
      <c r="H34" s="144">
        <f>D34+F34</f>
        <v>245336</v>
      </c>
      <c r="I34" s="144"/>
    </row>
    <row r="35" spans="2:8" ht="12">
      <c r="B35" t="s">
        <v>379</v>
      </c>
      <c r="D35" s="144">
        <f>'Sched 1'!D46</f>
        <v>702</v>
      </c>
      <c r="F35" s="144">
        <f>'Sched 1'!E46</f>
        <v>0</v>
      </c>
      <c r="G35" s="144"/>
      <c r="H35" s="144">
        <f>D35+F35</f>
        <v>702</v>
      </c>
    </row>
    <row r="36" spans="4:8" ht="12">
      <c r="D36" s="160"/>
      <c r="F36" s="160"/>
      <c r="G36" s="144"/>
      <c r="H36" s="160"/>
    </row>
    <row r="37" spans="2:8" ht="12">
      <c r="B37" t="s">
        <v>501</v>
      </c>
      <c r="D37" s="144">
        <f>SUM(D22:D35)</f>
        <v>4737464</v>
      </c>
      <c r="E37" s="144">
        <f>SUM(E22:E35)</f>
        <v>0</v>
      </c>
      <c r="F37" s="144">
        <f>SUM(F22:F35)</f>
        <v>0</v>
      </c>
      <c r="G37" s="144">
        <f>SUM(G22:G35)</f>
        <v>0</v>
      </c>
      <c r="H37" s="144">
        <f>SUM(H22:H35)</f>
        <v>4737464</v>
      </c>
    </row>
    <row r="38" spans="4:9" ht="12">
      <c r="D38" s="144">
        <f>'Sched 1'!D37</f>
        <v>0</v>
      </c>
      <c r="F38" s="144"/>
      <c r="G38" s="144"/>
      <c r="H38" s="144"/>
      <c r="I38" s="144"/>
    </row>
    <row r="39" spans="1:8" ht="12">
      <c r="A39" t="s">
        <v>502</v>
      </c>
      <c r="D39" s="144">
        <f>'Sched 1'!D38</f>
        <v>225555</v>
      </c>
      <c r="F39" s="144"/>
      <c r="G39" s="144"/>
      <c r="H39" s="144">
        <f>D39+F39</f>
        <v>225555</v>
      </c>
    </row>
    <row r="40" spans="4:8" ht="12">
      <c r="D40" s="144">
        <f>'Sched 1'!D39</f>
        <v>0</v>
      </c>
      <c r="F40" s="144"/>
      <c r="G40" s="144"/>
      <c r="H40" s="144"/>
    </row>
    <row r="41" spans="1:8" ht="12">
      <c r="A41" t="s">
        <v>503</v>
      </c>
      <c r="C41" s="131"/>
      <c r="D41" s="144">
        <f>D18-D37-D39</f>
        <v>-177577.4299999997</v>
      </c>
      <c r="E41" s="144">
        <f>E18-E37-E39</f>
        <v>0</v>
      </c>
      <c r="F41" s="144">
        <f>F18-F37-F39</f>
        <v>0</v>
      </c>
      <c r="G41" s="144">
        <f>G18-G37-G39</f>
        <v>0</v>
      </c>
      <c r="H41" s="144">
        <f>H18-H37-H39</f>
        <v>-177577.4299999997</v>
      </c>
    </row>
    <row r="42" spans="4:8" ht="12">
      <c r="D42" s="144"/>
      <c r="F42" s="144"/>
      <c r="G42" s="144"/>
      <c r="H42" s="144"/>
    </row>
    <row r="43" spans="1:8" ht="12">
      <c r="A43" t="s">
        <v>513</v>
      </c>
      <c r="D43" s="144"/>
      <c r="F43" s="144"/>
      <c r="G43" s="144"/>
      <c r="H43" s="144"/>
    </row>
    <row r="44" spans="2:8" ht="12">
      <c r="B44" t="s">
        <v>514</v>
      </c>
      <c r="D44" s="144">
        <v>7</v>
      </c>
      <c r="F44" s="144"/>
      <c r="G44" s="144"/>
      <c r="H44" s="144"/>
    </row>
    <row r="45" spans="2:9" ht="12">
      <c r="B45" t="s">
        <v>515</v>
      </c>
      <c r="D45" s="160">
        <v>0</v>
      </c>
      <c r="F45" s="144"/>
      <c r="G45" s="144"/>
      <c r="H45" s="160"/>
      <c r="I45" s="144"/>
    </row>
    <row r="46" spans="3:8" ht="12">
      <c r="C46" s="30" t="s">
        <v>516</v>
      </c>
      <c r="D46" s="144">
        <f>D44+D45</f>
        <v>7</v>
      </c>
      <c r="F46" s="144"/>
      <c r="G46" s="144"/>
      <c r="H46" s="144">
        <f>D46+F46</f>
        <v>7</v>
      </c>
    </row>
    <row r="47" spans="4:8" ht="12">
      <c r="D47" s="144"/>
      <c r="F47" s="144"/>
      <c r="G47" s="144"/>
      <c r="H47" s="144"/>
    </row>
    <row r="48" spans="1:8" ht="12">
      <c r="A48" t="s">
        <v>517</v>
      </c>
      <c r="D48" s="144">
        <f>D46+D41</f>
        <v>-177570.4299999997</v>
      </c>
      <c r="E48" s="144">
        <f>E46+E41</f>
        <v>0</v>
      </c>
      <c r="F48" s="144">
        <f>F46+F41</f>
        <v>0</v>
      </c>
      <c r="G48" s="144">
        <f>G46+G41</f>
        <v>0</v>
      </c>
      <c r="H48" s="144">
        <f>H46+H41</f>
        <v>-177570.4299999997</v>
      </c>
    </row>
    <row r="49" spans="4:8" ht="12">
      <c r="D49" s="144"/>
      <c r="F49" s="144"/>
      <c r="G49" s="144"/>
      <c r="H49" s="144"/>
    </row>
    <row r="50" spans="1:8" ht="12">
      <c r="A50" t="s">
        <v>518</v>
      </c>
      <c r="D50" s="144"/>
      <c r="F50" s="144"/>
      <c r="G50" s="144"/>
      <c r="H50" s="144"/>
    </row>
    <row r="51" spans="2:9" ht="12">
      <c r="B51" t="s">
        <v>519</v>
      </c>
      <c r="D51" s="144">
        <v>45026</v>
      </c>
      <c r="F51" s="144">
        <v>6500</v>
      </c>
      <c r="G51" s="144"/>
      <c r="H51" s="144">
        <f>D51+F51</f>
        <v>51526</v>
      </c>
      <c r="I51" s="144"/>
    </row>
    <row r="52" spans="2:8" ht="12">
      <c r="B52" t="s">
        <v>520</v>
      </c>
      <c r="D52" s="144">
        <v>21105</v>
      </c>
      <c r="F52" s="144">
        <v>3500</v>
      </c>
      <c r="G52" s="144"/>
      <c r="H52" s="144">
        <f>D52+F52</f>
        <v>24605</v>
      </c>
    </row>
    <row r="53" spans="2:9" ht="12">
      <c r="B53" t="s">
        <v>379</v>
      </c>
      <c r="D53" s="144">
        <f>D35</f>
        <v>702</v>
      </c>
      <c r="F53" s="144"/>
      <c r="G53" s="144"/>
      <c r="H53" s="144">
        <f>D53+F53</f>
        <v>702</v>
      </c>
      <c r="I53" s="143"/>
    </row>
    <row r="54" spans="2:8" ht="12">
      <c r="B54" t="s">
        <v>62</v>
      </c>
      <c r="D54" s="160">
        <f>D29</f>
        <v>425</v>
      </c>
      <c r="F54" s="160"/>
      <c r="G54" s="144"/>
      <c r="H54" s="160">
        <f>D54+F54</f>
        <v>425</v>
      </c>
    </row>
    <row r="55" spans="3:8" ht="12">
      <c r="C55" s="30" t="s">
        <v>465</v>
      </c>
      <c r="D55" s="144">
        <f>SUM(D51:D54)</f>
        <v>67258</v>
      </c>
      <c r="E55" s="144">
        <f>SUM(E51:E54)</f>
        <v>0</v>
      </c>
      <c r="F55" s="144">
        <f>SUM(F51:F54)</f>
        <v>10000</v>
      </c>
      <c r="G55" s="144">
        <f>SUM(G51:G54)</f>
        <v>0</v>
      </c>
      <c r="H55" s="144">
        <f>SUM(H51:H54)</f>
        <v>77258</v>
      </c>
    </row>
    <row r="56" spans="4:8" ht="12">
      <c r="D56" s="144"/>
      <c r="F56" s="144"/>
      <c r="G56" s="144"/>
      <c r="H56" s="144"/>
    </row>
    <row r="57" spans="1:8" ht="12">
      <c r="A57" t="s">
        <v>437</v>
      </c>
      <c r="D57" s="131">
        <f>D41-D55</f>
        <v>-244835.4299999997</v>
      </c>
      <c r="E57" s="131">
        <f>E41-E55</f>
        <v>0</v>
      </c>
      <c r="F57" s="131">
        <f>F41-F55</f>
        <v>-10000</v>
      </c>
      <c r="G57" s="131">
        <f>G41-G55</f>
        <v>0</v>
      </c>
      <c r="H57" s="131">
        <f>H41-H55</f>
        <v>-254835.4299999997</v>
      </c>
    </row>
  </sheetData>
  <mergeCells count="1">
    <mergeCell ref="B1:C1"/>
  </mergeCells>
  <printOptions/>
  <pageMargins left="0.75" right="0.75" top="0.5138888888888888" bottom="0.5277777777777778" header="0.2638888888888889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3:I44"/>
  <sheetViews>
    <sheetView workbookViewId="0" topLeftCell="A1">
      <selection activeCell="E8" sqref="E8"/>
    </sheetView>
  </sheetViews>
  <sheetFormatPr defaultColWidth="11.57421875" defaultRowHeight="12.75"/>
  <cols>
    <col min="1" max="1" width="3.140625" style="0" customWidth="1"/>
    <col min="2" max="2" width="3.8515625" style="0" customWidth="1"/>
    <col min="3" max="3" width="4.7109375" style="0" customWidth="1"/>
    <col min="4" max="4" width="19.7109375" style="0" customWidth="1"/>
    <col min="7" max="7" width="10.00390625" style="0" customWidth="1"/>
    <col min="9" max="9" width="14.00390625" style="0" customWidth="1"/>
    <col min="10" max="10" width="5.28125" style="0" customWidth="1"/>
    <col min="11" max="11" width="4.28125" style="0" customWidth="1"/>
  </cols>
  <sheetData>
    <row r="3" spans="3:8" ht="12.75">
      <c r="C3" s="65" t="s">
        <v>368</v>
      </c>
      <c r="H3" s="1"/>
    </row>
    <row r="4" spans="3:8" ht="12">
      <c r="C4" t="s">
        <v>10</v>
      </c>
      <c r="H4" t="s">
        <v>474</v>
      </c>
    </row>
    <row r="6" ht="12">
      <c r="E6" s="1" t="s">
        <v>369</v>
      </c>
    </row>
    <row r="7" ht="12">
      <c r="E7" s="207" t="s">
        <v>11</v>
      </c>
    </row>
    <row r="11" spans="5:8" ht="12">
      <c r="E11" t="s">
        <v>370</v>
      </c>
      <c r="F11" t="s">
        <v>370</v>
      </c>
      <c r="G11" s="1"/>
      <c r="H11" s="1" t="s">
        <v>289</v>
      </c>
    </row>
    <row r="12" spans="5:8" ht="12">
      <c r="E12" t="s">
        <v>101</v>
      </c>
      <c r="F12" t="s">
        <v>290</v>
      </c>
      <c r="G12" t="s">
        <v>557</v>
      </c>
      <c r="H12" s="1" t="s">
        <v>113</v>
      </c>
    </row>
    <row r="13" spans="5:8" ht="12">
      <c r="E13" t="s">
        <v>41</v>
      </c>
      <c r="F13" t="s">
        <v>41</v>
      </c>
      <c r="H13" s="1" t="s">
        <v>416</v>
      </c>
    </row>
    <row r="15" spans="2:9" ht="12">
      <c r="B15" t="s">
        <v>74</v>
      </c>
      <c r="E15" s="34">
        <f>'Sched 3-B'!S41</f>
        <v>10568241.333333334</v>
      </c>
      <c r="F15" s="34">
        <f>'Sched 3-B'!T41</f>
        <v>10566279.23076923</v>
      </c>
      <c r="G15" s="34">
        <f>'Sched 3-B'!F41-'Sched 3-B'!S41</f>
        <v>-25507.333333333954</v>
      </c>
      <c r="H15" s="34">
        <f>E15+G15</f>
        <v>10542734</v>
      </c>
      <c r="I15" s="34"/>
    </row>
    <row r="16" spans="5:7" ht="12">
      <c r="E16" s="34"/>
      <c r="F16" s="34"/>
      <c r="G16" s="34"/>
    </row>
    <row r="17" spans="2:9" ht="12">
      <c r="B17" t="s">
        <v>75</v>
      </c>
      <c r="E17" s="34">
        <f>'Sched 3-B'!S43</f>
        <v>-5194669.583333333</v>
      </c>
      <c r="F17" s="34">
        <f>'Sched 3-B'!T43</f>
        <v>-5188221.461538462</v>
      </c>
      <c r="G17" s="34">
        <f>'Sched 3-B'!F43-'Sched 3-B'!S43</f>
        <v>83825.58333333302</v>
      </c>
      <c r="H17" s="34">
        <f>E17+G17</f>
        <v>-5110844</v>
      </c>
      <c r="I17" s="34"/>
    </row>
    <row r="18" spans="5:7" ht="12">
      <c r="E18" s="34"/>
      <c r="F18" s="34"/>
      <c r="G18" s="34"/>
    </row>
    <row r="19" spans="2:7" ht="12">
      <c r="B19" t="s">
        <v>76</v>
      </c>
      <c r="E19" s="34"/>
      <c r="F19" s="34"/>
      <c r="G19" s="34"/>
    </row>
    <row r="20" spans="5:7" ht="12">
      <c r="E20" s="34"/>
      <c r="F20" s="34"/>
      <c r="G20" s="34"/>
    </row>
    <row r="21" spans="2:9" ht="12">
      <c r="B21" t="s">
        <v>249</v>
      </c>
      <c r="E21" s="34">
        <f>E15+E17</f>
        <v>5373571.750000001</v>
      </c>
      <c r="F21" s="34">
        <f>F15+F17</f>
        <v>5378057.769230768</v>
      </c>
      <c r="G21" s="34">
        <f>G15+G17</f>
        <v>58318.24999999907</v>
      </c>
      <c r="H21" s="34">
        <f>H15+H17</f>
        <v>5431890</v>
      </c>
      <c r="I21" s="34"/>
    </row>
    <row r="22" spans="5:7" ht="12">
      <c r="E22" s="34"/>
      <c r="F22" s="34"/>
      <c r="G22" s="34"/>
    </row>
    <row r="23" spans="2:7" ht="12">
      <c r="B23" t="s">
        <v>250</v>
      </c>
      <c r="E23" s="34"/>
      <c r="F23" s="34"/>
      <c r="G23" s="34"/>
    </row>
    <row r="24" spans="3:9" ht="12">
      <c r="C24" t="s">
        <v>314</v>
      </c>
      <c r="E24" s="3">
        <f>'Sched 3A'!H22</f>
        <v>577612.6872851835</v>
      </c>
      <c r="F24" s="3">
        <f>E24</f>
        <v>577612.6872851835</v>
      </c>
      <c r="G24" s="3"/>
      <c r="H24" s="3">
        <f>F24</f>
        <v>577612.6872851835</v>
      </c>
      <c r="I24" s="3"/>
    </row>
    <row r="25" spans="4:9" ht="12">
      <c r="D25" t="s">
        <v>150</v>
      </c>
      <c r="E25" s="3"/>
      <c r="F25" s="3"/>
      <c r="G25" s="3"/>
      <c r="H25" s="3"/>
      <c r="I25" s="3"/>
    </row>
    <row r="26" spans="3:9" ht="12">
      <c r="C26" t="s">
        <v>315</v>
      </c>
      <c r="E26" s="3">
        <f>'Sched 3-B'!S52</f>
        <v>219386.96000000002</v>
      </c>
      <c r="F26" s="3">
        <f>'Sched 3-B'!T52</f>
        <v>227614.03999999998</v>
      </c>
      <c r="G26" s="3"/>
      <c r="H26" s="3">
        <f>E26</f>
        <v>219386.96000000002</v>
      </c>
      <c r="I26" s="3"/>
    </row>
    <row r="27" spans="4:9" ht="12">
      <c r="D27" t="s">
        <v>471</v>
      </c>
      <c r="E27" s="3"/>
      <c r="F27" s="3"/>
      <c r="G27" s="3"/>
      <c r="H27" s="3"/>
      <c r="I27" s="3"/>
    </row>
    <row r="28" spans="3:9" ht="12">
      <c r="C28" t="s">
        <v>119</v>
      </c>
      <c r="E28" s="3"/>
      <c r="F28" s="3"/>
      <c r="G28" s="3"/>
      <c r="H28" s="3"/>
      <c r="I28" s="3"/>
    </row>
    <row r="29" spans="5:9" ht="12">
      <c r="E29" s="3"/>
      <c r="F29" s="3"/>
      <c r="G29" s="3"/>
      <c r="H29" s="3"/>
      <c r="I29" s="3"/>
    </row>
    <row r="30" spans="2:9" ht="12">
      <c r="B30" t="s">
        <v>120</v>
      </c>
      <c r="E30" s="3"/>
      <c r="F30" s="3"/>
      <c r="G30" s="3"/>
      <c r="H30" s="3"/>
      <c r="I30" s="3"/>
    </row>
    <row r="31" spans="3:9" ht="12">
      <c r="C31" t="s">
        <v>354</v>
      </c>
      <c r="E31" s="3">
        <f>'Sched 2'!G71</f>
        <v>1135035</v>
      </c>
      <c r="F31" s="3">
        <f>E31</f>
        <v>1135035</v>
      </c>
      <c r="G31" s="3"/>
      <c r="H31" s="3">
        <f>F31</f>
        <v>1135035</v>
      </c>
      <c r="I31" s="3"/>
    </row>
    <row r="32" spans="3:9" ht="12">
      <c r="C32" t="s">
        <v>121</v>
      </c>
      <c r="E32" s="3"/>
      <c r="F32" s="3"/>
      <c r="G32" s="3"/>
      <c r="H32" s="3"/>
      <c r="I32" s="3"/>
    </row>
    <row r="33" spans="3:9" ht="12">
      <c r="C33" t="s">
        <v>302</v>
      </c>
      <c r="E33" s="3">
        <f>'Sched 3-B'!S58</f>
        <v>-9327.25</v>
      </c>
      <c r="F33" s="3">
        <f>'Sched 3-B'!T58</f>
        <v>-9206.307692307691</v>
      </c>
      <c r="G33" s="3"/>
      <c r="H33" s="3">
        <f>E33</f>
        <v>-9327.25</v>
      </c>
      <c r="I33" s="3"/>
    </row>
    <row r="34" spans="5:9" ht="12">
      <c r="E34" s="3"/>
      <c r="F34" s="3"/>
      <c r="G34" s="3"/>
      <c r="H34" s="3"/>
      <c r="I34" s="3"/>
    </row>
    <row r="35" spans="3:9" ht="12">
      <c r="C35" t="s">
        <v>122</v>
      </c>
      <c r="E35" s="3"/>
      <c r="F35" s="3"/>
      <c r="G35" s="3"/>
      <c r="H35" s="3"/>
      <c r="I35" s="3"/>
    </row>
    <row r="36" spans="3:9" ht="12">
      <c r="C36" t="s">
        <v>493</v>
      </c>
      <c r="E36" s="3">
        <v>171975</v>
      </c>
      <c r="F36" s="3">
        <f>E36</f>
        <v>171975</v>
      </c>
      <c r="G36" s="3"/>
      <c r="H36" s="3">
        <f>F36</f>
        <v>171975</v>
      </c>
      <c r="I36" s="3"/>
    </row>
    <row r="37" ht="12">
      <c r="D37" t="s">
        <v>259</v>
      </c>
    </row>
    <row r="39" spans="3:9" ht="12">
      <c r="C39" t="s">
        <v>369</v>
      </c>
      <c r="E39" s="34">
        <f>E21+E24+E26-E31-E33-E36</f>
        <v>4872888.647285185</v>
      </c>
      <c r="F39" s="34">
        <f>F21+F24+F26-F31-F33-F36</f>
        <v>4885480.804208259</v>
      </c>
      <c r="G39" s="34"/>
      <c r="H39" s="34">
        <f>H21+H24+H26-H31-H33-H36</f>
        <v>4931206.897285183</v>
      </c>
      <c r="I39" s="34"/>
    </row>
    <row r="41" spans="3:9" ht="12">
      <c r="C41" t="s">
        <v>284</v>
      </c>
      <c r="E41" s="34">
        <f>'Sched 1'!D40</f>
        <v>-173432.4299999997</v>
      </c>
      <c r="F41" s="34">
        <f>E41</f>
        <v>-173432.4299999997</v>
      </c>
      <c r="G41" s="34"/>
      <c r="H41" s="34">
        <f>'Sched 1'!F40</f>
        <v>-219455.6441721553</v>
      </c>
      <c r="I41" s="34"/>
    </row>
    <row r="42" ht="12">
      <c r="D42" t="s">
        <v>285</v>
      </c>
    </row>
    <row r="44" spans="3:9" ht="12">
      <c r="C44" t="s">
        <v>286</v>
      </c>
      <c r="E44" s="13">
        <f>E41/E39</f>
        <v>-0.035591297596472574</v>
      </c>
      <c r="F44" s="13">
        <f>F41/F39</f>
        <v>-0.03549956226429308</v>
      </c>
      <c r="G44" s="13"/>
      <c r="H44" s="13">
        <f>H41/H39</f>
        <v>-0.044503434705401225</v>
      </c>
      <c r="I44" s="13"/>
    </row>
  </sheetData>
  <printOptions/>
  <pageMargins left="1.27" right="0.2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J25"/>
  <sheetViews>
    <sheetView workbookViewId="0" topLeftCell="A1">
      <selection activeCell="C6" sqref="C6"/>
    </sheetView>
  </sheetViews>
  <sheetFormatPr defaultColWidth="8.8515625" defaultRowHeight="12.75"/>
  <cols>
    <col min="1" max="1" width="3.00390625" style="0" customWidth="1"/>
    <col min="2" max="2" width="4.8515625" style="0" customWidth="1"/>
    <col min="6" max="6" width="4.28125" style="0" customWidth="1"/>
    <col min="7" max="7" width="3.421875" style="0" customWidth="1"/>
    <col min="8" max="8" width="16.421875" style="0" customWidth="1"/>
  </cols>
  <sheetData>
    <row r="5" spans="3:9" ht="12.75">
      <c r="C5" s="65" t="s">
        <v>368</v>
      </c>
      <c r="I5" s="63" t="s">
        <v>150</v>
      </c>
    </row>
    <row r="6" spans="3:9" ht="12">
      <c r="C6" s="209" t="s">
        <v>10</v>
      </c>
      <c r="I6" s="1"/>
    </row>
    <row r="7" spans="3:10" ht="12">
      <c r="C7" s="1"/>
      <c r="D7" s="1"/>
      <c r="E7" s="1"/>
      <c r="G7" s="1"/>
      <c r="H7" s="1"/>
      <c r="I7" s="1"/>
      <c r="J7" s="1"/>
    </row>
    <row r="9" spans="2:10" ht="12">
      <c r="B9" s="14" t="s">
        <v>45</v>
      </c>
      <c r="C9" s="1"/>
      <c r="D9" s="1"/>
      <c r="E9" s="1"/>
      <c r="F9" s="1"/>
      <c r="G9" s="1"/>
      <c r="H9" s="1"/>
      <c r="I9" s="1"/>
      <c r="J9" s="1"/>
    </row>
    <row r="10" spans="2:10" ht="12">
      <c r="B10" s="181" t="s">
        <v>7</v>
      </c>
      <c r="C10" s="1"/>
      <c r="D10" s="1"/>
      <c r="E10" s="1"/>
      <c r="F10" s="1"/>
      <c r="G10" s="1"/>
      <c r="H10" s="1"/>
      <c r="I10" s="1"/>
      <c r="J10" s="1"/>
    </row>
    <row r="14" ht="12">
      <c r="B14" s="14" t="s">
        <v>187</v>
      </c>
    </row>
    <row r="15" spans="3:8" ht="12">
      <c r="C15" t="s">
        <v>537</v>
      </c>
      <c r="H15" s="7">
        <f>'Sched 1'!F36</f>
        <v>4866939.498281468</v>
      </c>
    </row>
    <row r="16" ht="12">
      <c r="H16" s="3"/>
    </row>
    <row r="17" spans="2:8" ht="12">
      <c r="B17" s="14" t="s">
        <v>97</v>
      </c>
      <c r="H17" s="3"/>
    </row>
    <row r="18" spans="3:8" ht="12">
      <c r="C18" t="s">
        <v>537</v>
      </c>
      <c r="H18" s="7">
        <f>'Sched 1'!F33+'Sched 1'!F46</f>
        <v>246038</v>
      </c>
    </row>
    <row r="19" ht="12">
      <c r="H19" s="3"/>
    </row>
    <row r="20" spans="2:8" ht="12">
      <c r="B20" s="14" t="s">
        <v>323</v>
      </c>
      <c r="H20" s="7">
        <f>(H15-H18)/12</f>
        <v>385075.12485678896</v>
      </c>
    </row>
    <row r="21" ht="12">
      <c r="H21" s="3"/>
    </row>
    <row r="22" spans="2:8" ht="12">
      <c r="B22" s="14" t="s">
        <v>324</v>
      </c>
      <c r="H22" s="7">
        <f>H20*1.5</f>
        <v>577612.6872851835</v>
      </c>
    </row>
    <row r="23" ht="12">
      <c r="H23" s="3"/>
    </row>
    <row r="24" ht="12">
      <c r="H24" s="189"/>
    </row>
    <row r="25" ht="12">
      <c r="H25" s="48"/>
    </row>
  </sheetData>
  <printOptions/>
  <pageMargins left="1.12" right="0.75" top="1" bottom="1" header="0.5" footer="0.5"/>
  <pageSetup fitToHeight="1" fitToWidth="1"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9"/>
  <sheetViews>
    <sheetView workbookViewId="0" topLeftCell="A1">
      <selection activeCell="L40" sqref="L40"/>
    </sheetView>
  </sheetViews>
  <sheetFormatPr defaultColWidth="8.8515625" defaultRowHeight="12.75"/>
  <cols>
    <col min="1" max="1" width="5.28125" style="0" customWidth="1"/>
    <col min="4" max="4" width="12.421875" style="0" customWidth="1"/>
    <col min="5" max="5" width="6.8515625" style="0" customWidth="1"/>
    <col min="6" max="16" width="11.7109375" style="0" bestFit="1" customWidth="1"/>
    <col min="17" max="17" width="11.8515625" style="0" bestFit="1" customWidth="1"/>
    <col min="18" max="18" width="11.7109375" style="0" bestFit="1" customWidth="1"/>
    <col min="19" max="20" width="10.421875" style="0" bestFit="1" customWidth="1"/>
  </cols>
  <sheetData>
    <row r="1" spans="2:18" ht="12.75">
      <c r="B1" s="14"/>
      <c r="C1" s="14"/>
      <c r="D1" s="14"/>
      <c r="E1" s="65" t="s">
        <v>368</v>
      </c>
      <c r="F1" s="112"/>
      <c r="G1" s="14"/>
      <c r="H1" s="14"/>
      <c r="I1" s="14"/>
      <c r="Q1" t="s">
        <v>471</v>
      </c>
      <c r="R1" s="30"/>
    </row>
    <row r="2" spans="5:18" ht="12.75">
      <c r="E2" s="209" t="s">
        <v>10</v>
      </c>
      <c r="F2" s="112"/>
      <c r="R2" s="30"/>
    </row>
    <row r="3" spans="2:18" ht="12">
      <c r="B3" s="64" t="s">
        <v>298</v>
      </c>
      <c r="C3" s="14"/>
      <c r="D3" s="14"/>
      <c r="E3" s="14"/>
      <c r="F3" s="113"/>
      <c r="G3" s="14"/>
      <c r="H3" s="14"/>
      <c r="I3" s="14"/>
      <c r="R3" s="30"/>
    </row>
    <row r="4" spans="1:20" ht="12">
      <c r="A4" s="1"/>
      <c r="B4" s="1"/>
      <c r="C4" s="1"/>
      <c r="D4" s="1"/>
      <c r="E4" s="1"/>
      <c r="F4" s="114"/>
      <c r="G4" s="1"/>
      <c r="H4" s="1"/>
      <c r="I4" s="1"/>
      <c r="R4" s="30"/>
      <c r="S4" s="101" t="s">
        <v>101</v>
      </c>
      <c r="T4" s="107" t="s">
        <v>102</v>
      </c>
    </row>
    <row r="5" spans="1:20" ht="12">
      <c r="A5" s="1"/>
      <c r="B5" s="1"/>
      <c r="C5" s="1"/>
      <c r="D5" s="1"/>
      <c r="E5" s="1"/>
      <c r="F5" s="115">
        <v>39417</v>
      </c>
      <c r="G5" s="1" t="s">
        <v>103</v>
      </c>
      <c r="H5" s="1" t="s">
        <v>308</v>
      </c>
      <c r="I5" s="1" t="s">
        <v>215</v>
      </c>
      <c r="J5" s="1" t="s">
        <v>133</v>
      </c>
      <c r="K5" t="s">
        <v>255</v>
      </c>
      <c r="L5" t="s">
        <v>256</v>
      </c>
      <c r="M5" t="s">
        <v>257</v>
      </c>
      <c r="N5" t="s">
        <v>134</v>
      </c>
      <c r="O5" t="s">
        <v>146</v>
      </c>
      <c r="P5" t="s">
        <v>171</v>
      </c>
      <c r="Q5" t="s">
        <v>172</v>
      </c>
      <c r="R5" s="30" t="s">
        <v>40</v>
      </c>
      <c r="S5" s="101" t="s">
        <v>41</v>
      </c>
      <c r="T5" s="107" t="s">
        <v>41</v>
      </c>
    </row>
    <row r="7" spans="2:18" ht="12">
      <c r="B7" t="s">
        <v>77</v>
      </c>
      <c r="R7" s="30"/>
    </row>
    <row r="8" spans="1:21" ht="12">
      <c r="A8" t="s">
        <v>42</v>
      </c>
      <c r="F8" s="116">
        <v>139</v>
      </c>
      <c r="G8" s="3">
        <v>139</v>
      </c>
      <c r="H8" s="3">
        <v>139</v>
      </c>
      <c r="I8" s="3">
        <v>139</v>
      </c>
      <c r="J8" s="3">
        <v>139</v>
      </c>
      <c r="K8" s="3">
        <v>139</v>
      </c>
      <c r="L8" s="3">
        <v>139</v>
      </c>
      <c r="M8" s="3">
        <v>139</v>
      </c>
      <c r="N8" s="3">
        <v>139</v>
      </c>
      <c r="O8" s="3">
        <v>139</v>
      </c>
      <c r="P8" s="3">
        <v>139</v>
      </c>
      <c r="Q8" s="3">
        <v>139</v>
      </c>
      <c r="R8" s="55">
        <v>139</v>
      </c>
      <c r="S8" s="102">
        <f>SUM(G8:R8)/12</f>
        <v>139</v>
      </c>
      <c r="T8" s="108">
        <f>SUM(F8:R8)/13</f>
        <v>139</v>
      </c>
      <c r="U8" s="3"/>
    </row>
    <row r="9" spans="1:21" ht="12">
      <c r="A9" t="s">
        <v>43</v>
      </c>
      <c r="F9" s="117"/>
      <c r="R9" s="30"/>
      <c r="S9" s="104">
        <f>SUM(G9:R9)/12</f>
        <v>0</v>
      </c>
      <c r="T9" s="109">
        <f>SUM(G9:R9)/13</f>
        <v>0</v>
      </c>
      <c r="U9" s="3"/>
    </row>
    <row r="10" spans="2:21" ht="12">
      <c r="B10" t="s">
        <v>199</v>
      </c>
      <c r="F10" s="116">
        <f>SUM(F8:F9)</f>
        <v>139</v>
      </c>
      <c r="G10" s="3">
        <f>SUM(G8:G9)</f>
        <v>139</v>
      </c>
      <c r="H10" s="3">
        <f aca="true" t="shared" si="0" ref="H10:T10">SUM(H8:H9)</f>
        <v>139</v>
      </c>
      <c r="I10" s="3">
        <f t="shared" si="0"/>
        <v>139</v>
      </c>
      <c r="J10" s="3">
        <f t="shared" si="0"/>
        <v>139</v>
      </c>
      <c r="K10" s="3">
        <f t="shared" si="0"/>
        <v>139</v>
      </c>
      <c r="L10" s="3">
        <f t="shared" si="0"/>
        <v>139</v>
      </c>
      <c r="M10" s="3">
        <f t="shared" si="0"/>
        <v>139</v>
      </c>
      <c r="N10" s="3">
        <f t="shared" si="0"/>
        <v>139</v>
      </c>
      <c r="O10" s="3">
        <f t="shared" si="0"/>
        <v>139</v>
      </c>
      <c r="P10" s="3">
        <f t="shared" si="0"/>
        <v>139</v>
      </c>
      <c r="Q10" s="3">
        <f t="shared" si="0"/>
        <v>139</v>
      </c>
      <c r="R10" s="55">
        <f t="shared" si="0"/>
        <v>139</v>
      </c>
      <c r="S10" s="102">
        <f t="shared" si="0"/>
        <v>139</v>
      </c>
      <c r="T10" s="108">
        <f t="shared" si="0"/>
        <v>139</v>
      </c>
      <c r="U10" s="3"/>
    </row>
    <row r="11" spans="6:21" ht="12">
      <c r="F11" s="116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55"/>
      <c r="S11" s="102"/>
      <c r="T11" s="108"/>
      <c r="U11" s="3"/>
    </row>
    <row r="12" spans="2:21" ht="12">
      <c r="B12" t="s">
        <v>229</v>
      </c>
      <c r="F12" s="118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4"/>
      <c r="S12" s="105"/>
      <c r="T12" s="110"/>
      <c r="U12" s="3"/>
    </row>
    <row r="13" spans="1:21" ht="12">
      <c r="A13" t="s">
        <v>194</v>
      </c>
      <c r="F13" s="117">
        <v>2655</v>
      </c>
      <c r="G13" s="4">
        <v>2655</v>
      </c>
      <c r="H13" s="4">
        <v>2655</v>
      </c>
      <c r="I13" s="4">
        <v>2655</v>
      </c>
      <c r="J13" s="4">
        <v>2655</v>
      </c>
      <c r="K13" s="4">
        <v>2655</v>
      </c>
      <c r="L13" s="4">
        <v>2655</v>
      </c>
      <c r="M13" s="4">
        <v>2655</v>
      </c>
      <c r="N13" s="4">
        <v>2655</v>
      </c>
      <c r="O13" s="4">
        <v>2655</v>
      </c>
      <c r="P13" s="4">
        <v>2655</v>
      </c>
      <c r="Q13" s="4">
        <v>2655</v>
      </c>
      <c r="R13" s="125">
        <v>2655</v>
      </c>
      <c r="S13" s="104">
        <f>SUM(G13:R13)/12</f>
        <v>2655</v>
      </c>
      <c r="T13" s="109">
        <f>SUM(F13:R13)/13</f>
        <v>2655</v>
      </c>
      <c r="U13" s="3"/>
    </row>
    <row r="14" spans="2:21" ht="12">
      <c r="B14" t="s">
        <v>219</v>
      </c>
      <c r="F14" s="116">
        <f>SUM(F13)</f>
        <v>2655</v>
      </c>
      <c r="G14" s="3">
        <f>SUM(G13)</f>
        <v>2655</v>
      </c>
      <c r="H14" s="3">
        <f aca="true" t="shared" si="1" ref="H14:R14">SUM(H13)</f>
        <v>2655</v>
      </c>
      <c r="I14" s="3">
        <f t="shared" si="1"/>
        <v>2655</v>
      </c>
      <c r="J14" s="3">
        <f t="shared" si="1"/>
        <v>2655</v>
      </c>
      <c r="K14" s="3">
        <f t="shared" si="1"/>
        <v>2655</v>
      </c>
      <c r="L14" s="3">
        <f t="shared" si="1"/>
        <v>2655</v>
      </c>
      <c r="M14" s="3">
        <f t="shared" si="1"/>
        <v>2655</v>
      </c>
      <c r="N14" s="3">
        <f t="shared" si="1"/>
        <v>2655</v>
      </c>
      <c r="O14" s="3">
        <f t="shared" si="1"/>
        <v>2655</v>
      </c>
      <c r="P14" s="3">
        <f t="shared" si="1"/>
        <v>2655</v>
      </c>
      <c r="Q14" s="3">
        <f t="shared" si="1"/>
        <v>2655</v>
      </c>
      <c r="R14" s="55">
        <f t="shared" si="1"/>
        <v>2655</v>
      </c>
      <c r="S14" s="102">
        <f>SUM(S13)</f>
        <v>2655</v>
      </c>
      <c r="T14" s="108">
        <f>SUM(T13)</f>
        <v>2655</v>
      </c>
      <c r="U14" s="3"/>
    </row>
    <row r="15" spans="6:21" ht="12">
      <c r="F15" s="116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55"/>
      <c r="S15" s="102"/>
      <c r="T15" s="108"/>
      <c r="U15" s="3"/>
    </row>
    <row r="16" spans="2:21" ht="12">
      <c r="B16" t="s">
        <v>124</v>
      </c>
      <c r="F16" s="116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55"/>
      <c r="S16" s="102"/>
      <c r="T16" s="108"/>
      <c r="U16" s="3"/>
    </row>
    <row r="17" spans="1:21" ht="12">
      <c r="A17" t="s">
        <v>204</v>
      </c>
      <c r="F17" s="116">
        <v>668707</v>
      </c>
      <c r="G17" s="3">
        <v>668707</v>
      </c>
      <c r="H17" s="3">
        <v>668707</v>
      </c>
      <c r="I17" s="3">
        <v>668707</v>
      </c>
      <c r="J17" s="3">
        <v>668707</v>
      </c>
      <c r="K17" s="3">
        <v>668707</v>
      </c>
      <c r="L17" s="3">
        <v>668707</v>
      </c>
      <c r="M17" s="3">
        <v>668707</v>
      </c>
      <c r="N17" s="3">
        <v>668707</v>
      </c>
      <c r="O17" s="3">
        <v>668707</v>
      </c>
      <c r="P17" s="3">
        <v>668707</v>
      </c>
      <c r="Q17" s="3">
        <v>668707</v>
      </c>
      <c r="R17" s="55">
        <v>668707</v>
      </c>
      <c r="S17" s="102">
        <f>SUM(G17:R17)/12</f>
        <v>668707</v>
      </c>
      <c r="T17" s="110">
        <f>SUM(F17:R17)/13</f>
        <v>668707</v>
      </c>
      <c r="U17" s="3"/>
    </row>
    <row r="18" spans="1:21" ht="12">
      <c r="A18" t="s">
        <v>544</v>
      </c>
      <c r="F18" s="117">
        <f>35184+67203</f>
        <v>102387</v>
      </c>
      <c r="G18" s="78">
        <f>F18</f>
        <v>102387</v>
      </c>
      <c r="H18" s="78">
        <f aca="true" t="shared" si="2" ref="H18:Q18">G18</f>
        <v>102387</v>
      </c>
      <c r="I18" s="78">
        <f t="shared" si="2"/>
        <v>102387</v>
      </c>
      <c r="J18" s="78">
        <f t="shared" si="2"/>
        <v>102387</v>
      </c>
      <c r="K18" s="78">
        <f t="shared" si="2"/>
        <v>102387</v>
      </c>
      <c r="L18" s="78">
        <f t="shared" si="2"/>
        <v>102387</v>
      </c>
      <c r="M18" s="78">
        <f t="shared" si="2"/>
        <v>102387</v>
      </c>
      <c r="N18" s="78">
        <f t="shared" si="2"/>
        <v>102387</v>
      </c>
      <c r="O18" s="78">
        <f t="shared" si="2"/>
        <v>102387</v>
      </c>
      <c r="P18" s="78">
        <f t="shared" si="2"/>
        <v>102387</v>
      </c>
      <c r="Q18" s="78">
        <f t="shared" si="2"/>
        <v>102387</v>
      </c>
      <c r="R18" s="125">
        <v>102387</v>
      </c>
      <c r="S18" s="104">
        <f>SUM(G18:R18)/12</f>
        <v>102387</v>
      </c>
      <c r="T18" s="109">
        <f>SUM(F18:R18)/13</f>
        <v>102387</v>
      </c>
      <c r="U18" s="3"/>
    </row>
    <row r="19" spans="2:21" ht="12">
      <c r="B19" t="s">
        <v>205</v>
      </c>
      <c r="F19" s="116">
        <f>SUM(F17:F18)</f>
        <v>771094</v>
      </c>
      <c r="G19" s="3">
        <f>SUM(G17:G18)</f>
        <v>771094</v>
      </c>
      <c r="H19" s="3">
        <f aca="true" t="shared" si="3" ref="H19:T19">SUM(H17:H18)</f>
        <v>771094</v>
      </c>
      <c r="I19" s="3">
        <f t="shared" si="3"/>
        <v>771094</v>
      </c>
      <c r="J19" s="3">
        <f t="shared" si="3"/>
        <v>771094</v>
      </c>
      <c r="K19" s="3">
        <f t="shared" si="3"/>
        <v>771094</v>
      </c>
      <c r="L19" s="3">
        <f t="shared" si="3"/>
        <v>771094</v>
      </c>
      <c r="M19" s="3">
        <f t="shared" si="3"/>
        <v>771094</v>
      </c>
      <c r="N19" s="3">
        <f t="shared" si="3"/>
        <v>771094</v>
      </c>
      <c r="O19" s="3">
        <f t="shared" si="3"/>
        <v>771094</v>
      </c>
      <c r="P19" s="3">
        <f t="shared" si="3"/>
        <v>771094</v>
      </c>
      <c r="Q19" s="3">
        <f t="shared" si="3"/>
        <v>771094</v>
      </c>
      <c r="R19" s="55">
        <f t="shared" si="3"/>
        <v>771094</v>
      </c>
      <c r="S19" s="104">
        <f>SUM(G19:R19)/12</f>
        <v>771094</v>
      </c>
      <c r="T19" s="108">
        <f t="shared" si="3"/>
        <v>771094</v>
      </c>
      <c r="U19" s="3"/>
    </row>
    <row r="20" spans="6:21" ht="12">
      <c r="F20" s="116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55"/>
      <c r="S20" s="102"/>
      <c r="T20" s="108"/>
      <c r="U20" s="3"/>
    </row>
    <row r="21" spans="2:21" ht="12">
      <c r="B21" t="s">
        <v>297</v>
      </c>
      <c r="F21" s="116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55"/>
      <c r="S21" s="102"/>
      <c r="T21" s="108"/>
      <c r="U21" s="3"/>
    </row>
    <row r="22" spans="1:21" ht="12">
      <c r="A22" t="s">
        <v>396</v>
      </c>
      <c r="F22" s="117">
        <f>6057662+304123+512+31000</f>
        <v>6393297</v>
      </c>
      <c r="G22" s="4">
        <f>F22</f>
        <v>6393297</v>
      </c>
      <c r="H22" s="4">
        <f>G22+3500</f>
        <v>6396797</v>
      </c>
      <c r="I22" s="4">
        <f>H22</f>
        <v>6396797</v>
      </c>
      <c r="J22" s="4">
        <f aca="true" t="shared" si="4" ref="J22:P22">I22+3500</f>
        <v>6400297</v>
      </c>
      <c r="K22" s="4">
        <f t="shared" si="4"/>
        <v>6403797</v>
      </c>
      <c r="L22" s="4">
        <f t="shared" si="4"/>
        <v>6407297</v>
      </c>
      <c r="M22" s="4">
        <f t="shared" si="4"/>
        <v>6410797</v>
      </c>
      <c r="N22" s="4">
        <f t="shared" si="4"/>
        <v>6414297</v>
      </c>
      <c r="O22" s="4">
        <f t="shared" si="4"/>
        <v>6417797</v>
      </c>
      <c r="P22" s="4">
        <f t="shared" si="4"/>
        <v>6421297</v>
      </c>
      <c r="Q22" s="4">
        <f>R22</f>
        <v>6421349</v>
      </c>
      <c r="R22" s="125">
        <f>6078214+311623+512+31000</f>
        <v>6421349</v>
      </c>
      <c r="S22" s="104">
        <f>SUM(G22:R22)/12</f>
        <v>6408764</v>
      </c>
      <c r="T22" s="109">
        <f>SUM(F22:R22)/13</f>
        <v>6407574.230769231</v>
      </c>
      <c r="U22" s="3"/>
    </row>
    <row r="23" spans="2:21" ht="12">
      <c r="B23" t="s">
        <v>371</v>
      </c>
      <c r="F23" s="116">
        <f>F22</f>
        <v>6393297</v>
      </c>
      <c r="G23" s="3">
        <f>G22</f>
        <v>6393297</v>
      </c>
      <c r="H23" s="3">
        <f aca="true" t="shared" si="5" ref="H23:R23">H22</f>
        <v>6396797</v>
      </c>
      <c r="I23" s="3">
        <f t="shared" si="5"/>
        <v>6396797</v>
      </c>
      <c r="J23" s="3">
        <f t="shared" si="5"/>
        <v>6400297</v>
      </c>
      <c r="K23" s="3">
        <f t="shared" si="5"/>
        <v>6403797</v>
      </c>
      <c r="L23" s="3">
        <f t="shared" si="5"/>
        <v>6407297</v>
      </c>
      <c r="M23" s="3">
        <f t="shared" si="5"/>
        <v>6410797</v>
      </c>
      <c r="N23" s="3">
        <f t="shared" si="5"/>
        <v>6414297</v>
      </c>
      <c r="O23" s="3">
        <f t="shared" si="5"/>
        <v>6417797</v>
      </c>
      <c r="P23" s="3">
        <f t="shared" si="5"/>
        <v>6421297</v>
      </c>
      <c r="Q23" s="3">
        <f t="shared" si="5"/>
        <v>6421349</v>
      </c>
      <c r="R23" s="55">
        <f t="shared" si="5"/>
        <v>6421349</v>
      </c>
      <c r="S23" s="104">
        <f>SUM(G23:R23)/12</f>
        <v>6408764</v>
      </c>
      <c r="T23" s="108">
        <f>T22</f>
        <v>6407574.230769231</v>
      </c>
      <c r="U23" s="3"/>
    </row>
    <row r="24" spans="6:21" ht="12">
      <c r="F24" s="116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55"/>
      <c r="S24" s="102"/>
      <c r="T24" s="108"/>
      <c r="U24" s="3"/>
    </row>
    <row r="25" spans="2:21" ht="12">
      <c r="B25" t="s">
        <v>296</v>
      </c>
      <c r="F25" s="116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55"/>
      <c r="S25" s="102"/>
      <c r="T25" s="108"/>
      <c r="U25" s="3"/>
    </row>
    <row r="26" spans="1:21" ht="12">
      <c r="A26" t="s">
        <v>372</v>
      </c>
      <c r="F26" s="116">
        <v>2418941</v>
      </c>
      <c r="G26" s="3">
        <f>F26</f>
        <v>2418941</v>
      </c>
      <c r="H26" s="3">
        <f>G26</f>
        <v>2418941</v>
      </c>
      <c r="I26" s="3">
        <f>H26</f>
        <v>2418941</v>
      </c>
      <c r="J26" s="3">
        <v>2420218</v>
      </c>
      <c r="K26" s="3">
        <v>2433928</v>
      </c>
      <c r="L26" s="3">
        <v>2433928</v>
      </c>
      <c r="M26" s="3">
        <v>2433928</v>
      </c>
      <c r="N26" s="3">
        <f>O26</f>
        <v>2448252</v>
      </c>
      <c r="O26" s="3">
        <f>P26</f>
        <v>2448252</v>
      </c>
      <c r="P26" s="3">
        <f>Q26</f>
        <v>2448252</v>
      </c>
      <c r="Q26" s="3">
        <f>R26</f>
        <v>2448252</v>
      </c>
      <c r="R26" s="55">
        <v>2448252</v>
      </c>
      <c r="S26" s="105">
        <f>SUM(G26:R26)/12</f>
        <v>2435007.0833333335</v>
      </c>
      <c r="T26" s="110">
        <f>SUM(F26:R26)/13</f>
        <v>2433771.230769231</v>
      </c>
      <c r="U26" s="3"/>
    </row>
    <row r="27" spans="1:21" ht="12">
      <c r="A27" t="s">
        <v>373</v>
      </c>
      <c r="F27" s="116">
        <v>393663</v>
      </c>
      <c r="G27" s="3">
        <f aca="true" t="shared" si="6" ref="G27:H29">F27</f>
        <v>393663</v>
      </c>
      <c r="H27" s="3">
        <v>393663</v>
      </c>
      <c r="I27" s="3">
        <v>393663</v>
      </c>
      <c r="J27" s="3">
        <v>393663</v>
      </c>
      <c r="K27" s="3">
        <v>393663</v>
      </c>
      <c r="L27" s="3">
        <v>393663</v>
      </c>
      <c r="M27" s="3">
        <v>393663</v>
      </c>
      <c r="N27" s="3">
        <v>393663</v>
      </c>
      <c r="O27" s="3">
        <v>393663</v>
      </c>
      <c r="P27" s="3">
        <v>393663</v>
      </c>
      <c r="Q27" s="3">
        <v>393663</v>
      </c>
      <c r="R27" s="55">
        <v>399726</v>
      </c>
      <c r="S27" s="102">
        <f>SUM(G27:R27)/12</f>
        <v>394168.25</v>
      </c>
      <c r="T27" s="110">
        <f>SUM(F27:R27)/13</f>
        <v>394129.3846153846</v>
      </c>
      <c r="U27" s="3"/>
    </row>
    <row r="28" spans="1:21" ht="12">
      <c r="A28" t="s">
        <v>482</v>
      </c>
      <c r="F28" s="116">
        <v>92545</v>
      </c>
      <c r="G28" s="3">
        <f t="shared" si="6"/>
        <v>92545</v>
      </c>
      <c r="H28" s="3">
        <v>92546</v>
      </c>
      <c r="I28" s="3">
        <v>92546</v>
      </c>
      <c r="J28" s="3">
        <v>92546</v>
      </c>
      <c r="K28" s="3">
        <v>92546</v>
      </c>
      <c r="L28" s="3">
        <v>92546</v>
      </c>
      <c r="M28" s="3">
        <v>92546</v>
      </c>
      <c r="N28" s="3">
        <v>92546</v>
      </c>
      <c r="O28" s="3">
        <v>92546</v>
      </c>
      <c r="P28" s="3">
        <v>92546</v>
      </c>
      <c r="Q28" s="3">
        <v>92546</v>
      </c>
      <c r="R28" s="55">
        <v>92545</v>
      </c>
      <c r="S28" s="102">
        <f>SUM(G28:R28)/12</f>
        <v>92545.83333333333</v>
      </c>
      <c r="T28" s="110">
        <f>SUM(F28:R28)/13</f>
        <v>92545.76923076923</v>
      </c>
      <c r="U28" s="3"/>
    </row>
    <row r="29" spans="1:21" ht="12">
      <c r="A29" t="s">
        <v>411</v>
      </c>
      <c r="F29" s="117">
        <v>107124</v>
      </c>
      <c r="G29" s="4">
        <f t="shared" si="6"/>
        <v>107124</v>
      </c>
      <c r="H29" s="4">
        <f t="shared" si="6"/>
        <v>107124</v>
      </c>
      <c r="I29" s="4">
        <f>H29+4000</f>
        <v>111124</v>
      </c>
      <c r="J29" s="4">
        <f>I29</f>
        <v>111124</v>
      </c>
      <c r="K29" s="4">
        <f>J29+4000</f>
        <v>115124</v>
      </c>
      <c r="L29" s="4">
        <f>K29</f>
        <v>115124</v>
      </c>
      <c r="M29" s="4">
        <f>L29</f>
        <v>115124</v>
      </c>
      <c r="N29" s="4">
        <f>M29+2000</f>
        <v>117124</v>
      </c>
      <c r="O29" s="4">
        <f>P29</f>
        <v>118949</v>
      </c>
      <c r="P29" s="4">
        <f>Q29</f>
        <v>118949</v>
      </c>
      <c r="Q29" s="4">
        <f>R29</f>
        <v>118949</v>
      </c>
      <c r="R29" s="125">
        <v>118949</v>
      </c>
      <c r="S29" s="104">
        <f>SUM(G29:R29)/12</f>
        <v>114565.66666666667</v>
      </c>
      <c r="T29" s="109">
        <f>SUM(F29:R29)/13</f>
        <v>113993.23076923077</v>
      </c>
      <c r="U29" s="3"/>
    </row>
    <row r="30" spans="2:21" ht="12">
      <c r="B30" t="s">
        <v>154</v>
      </c>
      <c r="F30" s="116">
        <f>SUM(F26:F29)</f>
        <v>3012273</v>
      </c>
      <c r="G30" s="3">
        <f aca="true" t="shared" si="7" ref="G30:T30">SUM(G26:G29)</f>
        <v>3012273</v>
      </c>
      <c r="H30" s="3">
        <f t="shared" si="7"/>
        <v>3012274</v>
      </c>
      <c r="I30" s="3">
        <f t="shared" si="7"/>
        <v>3016274</v>
      </c>
      <c r="J30" s="3">
        <f t="shared" si="7"/>
        <v>3017551</v>
      </c>
      <c r="K30" s="3">
        <f t="shared" si="7"/>
        <v>3035261</v>
      </c>
      <c r="L30" s="3">
        <f t="shared" si="7"/>
        <v>3035261</v>
      </c>
      <c r="M30" s="3">
        <f t="shared" si="7"/>
        <v>3035261</v>
      </c>
      <c r="N30" s="3">
        <f t="shared" si="7"/>
        <v>3051585</v>
      </c>
      <c r="O30" s="3">
        <f t="shared" si="7"/>
        <v>3053410</v>
      </c>
      <c r="P30" s="3">
        <f t="shared" si="7"/>
        <v>3053410</v>
      </c>
      <c r="Q30" s="3">
        <f t="shared" si="7"/>
        <v>3053410</v>
      </c>
      <c r="R30" s="55">
        <f t="shared" si="7"/>
        <v>3059472</v>
      </c>
      <c r="S30" s="102">
        <f t="shared" si="7"/>
        <v>3036286.8333333335</v>
      </c>
      <c r="T30" s="108">
        <f t="shared" si="7"/>
        <v>3034439.6153846155</v>
      </c>
      <c r="U30" s="3"/>
    </row>
    <row r="31" spans="6:21" ht="12">
      <c r="F31" s="116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55"/>
      <c r="S31" s="102"/>
      <c r="T31" s="108"/>
      <c r="U31" s="3"/>
    </row>
    <row r="32" spans="2:22" ht="12">
      <c r="B32" t="s">
        <v>228</v>
      </c>
      <c r="F32" s="116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55"/>
      <c r="S32" s="102"/>
      <c r="T32" s="108"/>
      <c r="U32" s="3"/>
      <c r="V32" s="111"/>
    </row>
    <row r="33" spans="1:21" ht="12">
      <c r="A33" t="s">
        <v>188</v>
      </c>
      <c r="F33" s="116">
        <v>31023</v>
      </c>
      <c r="G33" s="3">
        <f>F33</f>
        <v>31023</v>
      </c>
      <c r="H33" s="3">
        <f>G33</f>
        <v>31023</v>
      </c>
      <c r="I33" s="3">
        <f>H33</f>
        <v>31023</v>
      </c>
      <c r="J33" s="3">
        <f>I33+1200</f>
        <v>32223</v>
      </c>
      <c r="K33" s="3">
        <f>J33+1200</f>
        <v>33423</v>
      </c>
      <c r="L33" s="3">
        <f>K33</f>
        <v>33423</v>
      </c>
      <c r="M33" s="3">
        <f>L33</f>
        <v>33423</v>
      </c>
      <c r="N33" s="3">
        <f>O33</f>
        <v>33625</v>
      </c>
      <c r="O33" s="3">
        <f>P33</f>
        <v>33625</v>
      </c>
      <c r="P33" s="3">
        <f>Q33</f>
        <v>33625</v>
      </c>
      <c r="Q33" s="3">
        <f>R33</f>
        <v>33625</v>
      </c>
      <c r="R33" s="55">
        <v>33625</v>
      </c>
      <c r="S33" s="102">
        <f aca="true" t="shared" si="8" ref="S33:S38">SUM(G33:R33)/12</f>
        <v>32807.166666666664</v>
      </c>
      <c r="T33" s="110">
        <f aca="true" t="shared" si="9" ref="T33:T38">SUM(F33:R33)/13</f>
        <v>32669.923076923078</v>
      </c>
      <c r="U33" s="3"/>
    </row>
    <row r="34" spans="1:21" ht="12">
      <c r="A34" t="s">
        <v>362</v>
      </c>
      <c r="F34" s="116">
        <v>304541</v>
      </c>
      <c r="G34" s="3">
        <f>F34</f>
        <v>304541</v>
      </c>
      <c r="H34" s="3">
        <f aca="true" t="shared" si="10" ref="H34:N34">G34</f>
        <v>304541</v>
      </c>
      <c r="I34" s="3">
        <f t="shared" si="10"/>
        <v>304541</v>
      </c>
      <c r="J34" s="3">
        <f t="shared" si="10"/>
        <v>304541</v>
      </c>
      <c r="K34" s="3">
        <f>J34</f>
        <v>304541</v>
      </c>
      <c r="L34" s="3">
        <f t="shared" si="10"/>
        <v>304541</v>
      </c>
      <c r="M34" s="3">
        <f t="shared" si="10"/>
        <v>304541</v>
      </c>
      <c r="N34" s="3">
        <f t="shared" si="10"/>
        <v>304541</v>
      </c>
      <c r="O34" s="3">
        <f>P34</f>
        <v>247659</v>
      </c>
      <c r="P34" s="3">
        <f>Q34</f>
        <v>247659</v>
      </c>
      <c r="Q34" s="3">
        <f>R34</f>
        <v>247659</v>
      </c>
      <c r="R34" s="55">
        <v>247659</v>
      </c>
      <c r="S34" s="102">
        <f t="shared" si="8"/>
        <v>285580.3333333333</v>
      </c>
      <c r="T34" s="110">
        <f t="shared" si="9"/>
        <v>287038.8461538461</v>
      </c>
      <c r="U34" s="3"/>
    </row>
    <row r="35" spans="1:23" ht="12">
      <c r="A35" t="s">
        <v>363</v>
      </c>
      <c r="D35" s="47"/>
      <c r="F35" s="116">
        <v>11824</v>
      </c>
      <c r="G35" s="3">
        <f>F35</f>
        <v>11824</v>
      </c>
      <c r="H35" s="3">
        <f aca="true" t="shared" si="11" ref="H35:Q36">G35</f>
        <v>11824</v>
      </c>
      <c r="I35" s="3">
        <f t="shared" si="11"/>
        <v>11824</v>
      </c>
      <c r="J35" s="3">
        <f t="shared" si="11"/>
        <v>11824</v>
      </c>
      <c r="K35" s="3">
        <f t="shared" si="11"/>
        <v>11824</v>
      </c>
      <c r="L35" s="3">
        <f t="shared" si="11"/>
        <v>11824</v>
      </c>
      <c r="M35" s="3">
        <f t="shared" si="11"/>
        <v>11824</v>
      </c>
      <c r="N35" s="3">
        <f t="shared" si="11"/>
        <v>11824</v>
      </c>
      <c r="O35" s="3">
        <f t="shared" si="11"/>
        <v>11824</v>
      </c>
      <c r="P35" s="3">
        <f t="shared" si="11"/>
        <v>11824</v>
      </c>
      <c r="Q35" s="3">
        <f t="shared" si="11"/>
        <v>11824</v>
      </c>
      <c r="R35" s="55">
        <v>11824</v>
      </c>
      <c r="S35" s="102">
        <f t="shared" si="8"/>
        <v>11824</v>
      </c>
      <c r="T35" s="110">
        <f t="shared" si="9"/>
        <v>11824</v>
      </c>
      <c r="U35" s="3"/>
      <c r="W35" s="23"/>
    </row>
    <row r="36" spans="1:21" ht="12">
      <c r="A36" t="s">
        <v>195</v>
      </c>
      <c r="F36" s="116">
        <v>3643</v>
      </c>
      <c r="G36" s="3">
        <f>F36</f>
        <v>3643</v>
      </c>
      <c r="H36" s="3">
        <f t="shared" si="11"/>
        <v>3643</v>
      </c>
      <c r="I36" s="3">
        <f t="shared" si="11"/>
        <v>3643</v>
      </c>
      <c r="J36" s="3">
        <f t="shared" si="11"/>
        <v>3643</v>
      </c>
      <c r="K36" s="3">
        <f t="shared" si="11"/>
        <v>3643</v>
      </c>
      <c r="L36" s="3">
        <f t="shared" si="11"/>
        <v>3643</v>
      </c>
      <c r="M36" s="3">
        <f t="shared" si="11"/>
        <v>3643</v>
      </c>
      <c r="N36" s="3">
        <f t="shared" si="11"/>
        <v>3643</v>
      </c>
      <c r="O36" s="3">
        <f t="shared" si="11"/>
        <v>3643</v>
      </c>
      <c r="P36" s="3">
        <f t="shared" si="11"/>
        <v>3643</v>
      </c>
      <c r="Q36" s="3">
        <f t="shared" si="11"/>
        <v>3643</v>
      </c>
      <c r="R36" s="55">
        <v>3643</v>
      </c>
      <c r="S36" s="102">
        <f t="shared" si="8"/>
        <v>3643</v>
      </c>
      <c r="T36" s="110">
        <f t="shared" si="9"/>
        <v>3643</v>
      </c>
      <c r="U36" s="3"/>
    </row>
    <row r="37" spans="1:21" ht="12">
      <c r="A37" t="s">
        <v>570</v>
      </c>
      <c r="F37" s="116">
        <v>3149</v>
      </c>
      <c r="G37" s="3">
        <v>3149</v>
      </c>
      <c r="H37" s="3">
        <v>3149</v>
      </c>
      <c r="I37" s="3">
        <v>3149</v>
      </c>
      <c r="J37" s="3">
        <v>3149</v>
      </c>
      <c r="K37" s="3">
        <v>3149</v>
      </c>
      <c r="L37" s="3">
        <v>3149</v>
      </c>
      <c r="M37" s="3">
        <v>3149</v>
      </c>
      <c r="N37" s="3">
        <v>3149</v>
      </c>
      <c r="O37" s="3">
        <v>3149</v>
      </c>
      <c r="P37" s="3">
        <v>3149</v>
      </c>
      <c r="Q37" s="3">
        <v>3149</v>
      </c>
      <c r="R37" s="55">
        <v>3149</v>
      </c>
      <c r="S37" s="102">
        <f t="shared" si="8"/>
        <v>3149</v>
      </c>
      <c r="T37" s="110">
        <f t="shared" si="9"/>
        <v>3149</v>
      </c>
      <c r="U37" s="3"/>
    </row>
    <row r="38" spans="1:21" ht="12">
      <c r="A38" t="s">
        <v>410</v>
      </c>
      <c r="F38" s="117">
        <v>9096</v>
      </c>
      <c r="G38" s="4">
        <v>9611</v>
      </c>
      <c r="H38" s="4">
        <v>9611</v>
      </c>
      <c r="I38" s="4">
        <f>H38+2000</f>
        <v>11611</v>
      </c>
      <c r="J38" s="4">
        <f>I38</f>
        <v>11611</v>
      </c>
      <c r="K38" s="4">
        <f>J38</f>
        <v>11611</v>
      </c>
      <c r="L38" s="4">
        <f>K38</f>
        <v>11611</v>
      </c>
      <c r="M38" s="4">
        <f>L38+1200</f>
        <v>12811</v>
      </c>
      <c r="N38" s="4">
        <f>M38</f>
        <v>12811</v>
      </c>
      <c r="O38" s="4">
        <f>P38</f>
        <v>14075</v>
      </c>
      <c r="P38" s="4">
        <f>Q38</f>
        <v>14075</v>
      </c>
      <c r="Q38" s="4">
        <f>R38</f>
        <v>14075</v>
      </c>
      <c r="R38" s="125">
        <v>14075</v>
      </c>
      <c r="S38" s="104">
        <f t="shared" si="8"/>
        <v>12299</v>
      </c>
      <c r="T38" s="109">
        <f t="shared" si="9"/>
        <v>12052.615384615385</v>
      </c>
      <c r="U38" s="3"/>
    </row>
    <row r="39" spans="2:21" ht="12">
      <c r="B39" t="s">
        <v>80</v>
      </c>
      <c r="F39" s="116">
        <f>SUM(F33:F38)</f>
        <v>363276</v>
      </c>
      <c r="G39" s="3">
        <f>SUM(G33:G38)</f>
        <v>363791</v>
      </c>
      <c r="H39" s="3">
        <f aca="true" t="shared" si="12" ref="H39:R39">SUM(H33:H38)</f>
        <v>363791</v>
      </c>
      <c r="I39" s="3">
        <f t="shared" si="12"/>
        <v>365791</v>
      </c>
      <c r="J39" s="3">
        <f t="shared" si="12"/>
        <v>366991</v>
      </c>
      <c r="K39" s="3">
        <f t="shared" si="12"/>
        <v>368191</v>
      </c>
      <c r="L39" s="3">
        <f t="shared" si="12"/>
        <v>368191</v>
      </c>
      <c r="M39" s="3">
        <f t="shared" si="12"/>
        <v>369391</v>
      </c>
      <c r="N39" s="3">
        <f t="shared" si="12"/>
        <v>369593</v>
      </c>
      <c r="O39" s="3">
        <f t="shared" si="12"/>
        <v>313975</v>
      </c>
      <c r="P39" s="3">
        <f t="shared" si="12"/>
        <v>313975</v>
      </c>
      <c r="Q39" s="3">
        <f t="shared" si="12"/>
        <v>313975</v>
      </c>
      <c r="R39" s="55">
        <f t="shared" si="12"/>
        <v>313975</v>
      </c>
      <c r="S39" s="102">
        <f>SUM(S33:S38)</f>
        <v>349302.5</v>
      </c>
      <c r="T39" s="108">
        <f>SUM(T33:T38)</f>
        <v>350377.38461538457</v>
      </c>
      <c r="U39" s="3"/>
    </row>
    <row r="40" spans="6:21" ht="12">
      <c r="F40" s="116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55"/>
      <c r="S40" s="102"/>
      <c r="T40" s="108"/>
      <c r="U40" s="3"/>
    </row>
    <row r="41" spans="2:21" ht="12">
      <c r="B41" t="s">
        <v>81</v>
      </c>
      <c r="D41" s="47"/>
      <c r="F41" s="116">
        <f>F10+F14+F19+F23+F30+F39</f>
        <v>10542734</v>
      </c>
      <c r="G41" s="3">
        <f>G10+G14+G19+G23+G30+G39</f>
        <v>10543249</v>
      </c>
      <c r="H41" s="3">
        <f aca="true" t="shared" si="13" ref="H41:S41">H10+H14+H19+H23+H30+H39</f>
        <v>10546750</v>
      </c>
      <c r="I41" s="3">
        <f t="shared" si="13"/>
        <v>10552750</v>
      </c>
      <c r="J41" s="3">
        <f t="shared" si="13"/>
        <v>10558727</v>
      </c>
      <c r="K41" s="3">
        <f t="shared" si="13"/>
        <v>10581137</v>
      </c>
      <c r="L41" s="3">
        <f t="shared" si="13"/>
        <v>10584637</v>
      </c>
      <c r="M41" s="3">
        <f t="shared" si="13"/>
        <v>10589337</v>
      </c>
      <c r="N41" s="3">
        <f t="shared" si="13"/>
        <v>10609363</v>
      </c>
      <c r="O41" s="3">
        <f t="shared" si="13"/>
        <v>10559070</v>
      </c>
      <c r="P41" s="3">
        <f t="shared" si="13"/>
        <v>10562570</v>
      </c>
      <c r="Q41" s="3">
        <f t="shared" si="13"/>
        <v>10562622</v>
      </c>
      <c r="R41" s="55">
        <f t="shared" si="13"/>
        <v>10568684</v>
      </c>
      <c r="S41" s="102">
        <f t="shared" si="13"/>
        <v>10568241.333333334</v>
      </c>
      <c r="T41" s="110">
        <f>SUM(F41:R41)/13</f>
        <v>10566279.23076923</v>
      </c>
      <c r="U41" s="3"/>
    </row>
    <row r="42" spans="4:21" ht="12">
      <c r="D42" s="47"/>
      <c r="F42" s="116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55"/>
      <c r="S42" s="102"/>
      <c r="T42" s="108"/>
      <c r="U42" s="3"/>
    </row>
    <row r="43" spans="1:21" ht="12">
      <c r="A43" t="s">
        <v>135</v>
      </c>
      <c r="D43" s="48"/>
      <c r="F43" s="116">
        <v>-5110844</v>
      </c>
      <c r="G43" s="3">
        <f>F43-12619</f>
        <v>-5123463</v>
      </c>
      <c r="H43" s="3">
        <f aca="true" t="shared" si="14" ref="H43:Q43">G43-12619</f>
        <v>-5136082</v>
      </c>
      <c r="I43" s="3">
        <f t="shared" si="14"/>
        <v>-5148701</v>
      </c>
      <c r="J43" s="3">
        <f t="shared" si="14"/>
        <v>-5161320</v>
      </c>
      <c r="K43" s="3">
        <f t="shared" si="14"/>
        <v>-5173939</v>
      </c>
      <c r="L43" s="3">
        <f t="shared" si="14"/>
        <v>-5186558</v>
      </c>
      <c r="M43" s="3">
        <f t="shared" si="14"/>
        <v>-5199177</v>
      </c>
      <c r="N43" s="3">
        <f t="shared" si="14"/>
        <v>-5211796</v>
      </c>
      <c r="O43" s="3">
        <f>N43-15619</f>
        <v>-5227415</v>
      </c>
      <c r="P43" s="3">
        <f t="shared" si="14"/>
        <v>-5240034</v>
      </c>
      <c r="Q43" s="3">
        <f t="shared" si="14"/>
        <v>-5252653</v>
      </c>
      <c r="R43" s="55">
        <v>-5274897</v>
      </c>
      <c r="S43" s="102">
        <f>SUM(G43:R43)/12</f>
        <v>-5194669.583333333</v>
      </c>
      <c r="T43" s="110">
        <f>SUM(F43:R43)/13</f>
        <v>-5188221.461538462</v>
      </c>
      <c r="U43" s="3"/>
    </row>
    <row r="44" spans="6:21" ht="12">
      <c r="F44" s="116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55"/>
      <c r="S44" s="102"/>
      <c r="T44" s="108"/>
      <c r="U44" s="3"/>
    </row>
    <row r="45" spans="1:21" ht="12">
      <c r="A45" t="s">
        <v>45</v>
      </c>
      <c r="E45" t="s">
        <v>451</v>
      </c>
      <c r="F45" s="119">
        <f>'Sched 3A'!H22</f>
        <v>577612.6872851835</v>
      </c>
      <c r="G45" s="108">
        <f>F45</f>
        <v>577612.6872851835</v>
      </c>
      <c r="H45" s="108">
        <f aca="true" t="shared" si="15" ref="H45:Q45">G45</f>
        <v>577612.6872851835</v>
      </c>
      <c r="I45" s="108">
        <f t="shared" si="15"/>
        <v>577612.6872851835</v>
      </c>
      <c r="J45" s="108">
        <f t="shared" si="15"/>
        <v>577612.6872851835</v>
      </c>
      <c r="K45" s="108">
        <f t="shared" si="15"/>
        <v>577612.6872851835</v>
      </c>
      <c r="L45" s="108">
        <f t="shared" si="15"/>
        <v>577612.6872851835</v>
      </c>
      <c r="M45" s="108">
        <f t="shared" si="15"/>
        <v>577612.6872851835</v>
      </c>
      <c r="N45" s="108">
        <f t="shared" si="15"/>
        <v>577612.6872851835</v>
      </c>
      <c r="O45" s="108">
        <f t="shared" si="15"/>
        <v>577612.6872851835</v>
      </c>
      <c r="P45" s="108">
        <f t="shared" si="15"/>
        <v>577612.6872851835</v>
      </c>
      <c r="Q45" s="108">
        <f t="shared" si="15"/>
        <v>577612.6872851835</v>
      </c>
      <c r="R45" s="126">
        <f>'Sched 3A'!H22</f>
        <v>577612.6872851835</v>
      </c>
      <c r="S45" s="108">
        <f>R45</f>
        <v>577612.6872851835</v>
      </c>
      <c r="T45" s="108">
        <f>R45</f>
        <v>577612.6872851835</v>
      </c>
      <c r="U45" s="3"/>
    </row>
    <row r="46" spans="6:21" ht="12">
      <c r="F46" s="116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55"/>
      <c r="S46" s="102"/>
      <c r="T46" s="108"/>
      <c r="U46" s="3"/>
    </row>
    <row r="47" spans="1:21" ht="12">
      <c r="A47" t="s">
        <v>496</v>
      </c>
      <c r="F47" s="11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55"/>
      <c r="S47" s="102"/>
      <c r="T47" s="108"/>
      <c r="U47" s="3"/>
    </row>
    <row r="48" spans="2:21" ht="12">
      <c r="B48" t="s">
        <v>532</v>
      </c>
      <c r="F48" s="116">
        <v>72175</v>
      </c>
      <c r="G48" s="3">
        <v>98379</v>
      </c>
      <c r="H48" s="3">
        <v>99512</v>
      </c>
      <c r="I48" s="3">
        <v>118450</v>
      </c>
      <c r="J48" s="3">
        <v>83350</v>
      </c>
      <c r="K48" s="3">
        <v>72725</v>
      </c>
      <c r="L48" s="3">
        <v>82228</v>
      </c>
      <c r="M48" s="3">
        <v>70014</v>
      </c>
      <c r="N48" s="3">
        <v>75874</v>
      </c>
      <c r="O48" s="3">
        <v>64548</v>
      </c>
      <c r="P48" s="3">
        <v>77710</v>
      </c>
      <c r="Q48" s="3">
        <v>95007</v>
      </c>
      <c r="R48" s="55">
        <v>82532</v>
      </c>
      <c r="S48" s="102">
        <f>SUM(G48:R48)/12</f>
        <v>85027.41666666667</v>
      </c>
      <c r="T48" s="110">
        <f>SUM(F48:R48)/13</f>
        <v>84038.76923076923</v>
      </c>
      <c r="U48" s="3"/>
    </row>
    <row r="49" spans="2:21" ht="12">
      <c r="B49" t="s">
        <v>319</v>
      </c>
      <c r="F49" s="116">
        <v>198106</v>
      </c>
      <c r="G49" s="3">
        <f>115759+20229</f>
        <v>135988</v>
      </c>
      <c r="H49" s="3">
        <f>71986.77+8649.82</f>
        <v>80636.59</v>
      </c>
      <c r="I49" s="3">
        <f>58077.44+17213.09</f>
        <v>75290.53</v>
      </c>
      <c r="J49" s="3">
        <f>36863.64+7078.39</f>
        <v>43942.03</v>
      </c>
      <c r="K49" s="3">
        <v>14082.82</v>
      </c>
      <c r="L49" s="3">
        <v>1823.55</v>
      </c>
      <c r="M49" s="3">
        <v>4946</v>
      </c>
      <c r="N49" s="3">
        <v>6216</v>
      </c>
      <c r="O49" s="3">
        <f>6134+45000</f>
        <v>51134</v>
      </c>
      <c r="P49" s="3">
        <f>57100+12315+75000</f>
        <v>144415</v>
      </c>
      <c r="Q49" s="3">
        <f>102600+18000+66176</f>
        <v>186776</v>
      </c>
      <c r="R49" s="55">
        <v>236831</v>
      </c>
      <c r="S49" s="102">
        <f>SUM(G49:R49)/12</f>
        <v>81840.12666666666</v>
      </c>
      <c r="T49" s="110">
        <f>SUM(F49:R49)/13</f>
        <v>90783.65538461538</v>
      </c>
      <c r="U49" s="3"/>
    </row>
    <row r="50" spans="2:21" ht="12">
      <c r="B50" t="s">
        <v>497</v>
      </c>
      <c r="F50" s="116">
        <v>51618</v>
      </c>
      <c r="G50" s="3">
        <v>48443</v>
      </c>
      <c r="H50" s="3">
        <v>48443</v>
      </c>
      <c r="I50" s="3">
        <v>48258</v>
      </c>
      <c r="J50" s="3">
        <v>48258</v>
      </c>
      <c r="K50" s="3">
        <v>48258</v>
      </c>
      <c r="L50" s="3">
        <v>48258</v>
      </c>
      <c r="M50" s="3">
        <v>48258</v>
      </c>
      <c r="N50" s="3">
        <v>48258</v>
      </c>
      <c r="O50" s="3">
        <v>48258</v>
      </c>
      <c r="P50" s="3">
        <v>48258</v>
      </c>
      <c r="Q50" s="3">
        <v>48258</v>
      </c>
      <c r="R50" s="55">
        <v>41655</v>
      </c>
      <c r="S50" s="102">
        <f>SUM(G50:R50)/12</f>
        <v>47738.583333333336</v>
      </c>
      <c r="T50" s="110">
        <f>SUM(F50:R50)/13</f>
        <v>48037</v>
      </c>
      <c r="U50" s="3"/>
    </row>
    <row r="51" spans="2:21" ht="12">
      <c r="B51" t="s">
        <v>534</v>
      </c>
      <c r="F51" s="117">
        <v>4440</v>
      </c>
      <c r="G51" s="4">
        <f>1017+2806</f>
        <v>3823</v>
      </c>
      <c r="H51" s="4">
        <f>1534+3622</f>
        <v>5156</v>
      </c>
      <c r="I51" s="4">
        <f>2197+1947</f>
        <v>4144</v>
      </c>
      <c r="J51" s="4">
        <f>1000+3033</f>
        <v>4033</v>
      </c>
      <c r="K51" s="4">
        <f>1910+1761</f>
        <v>3671</v>
      </c>
      <c r="L51" s="4">
        <f>1083+5061</f>
        <v>6144</v>
      </c>
      <c r="M51" s="4">
        <f>399+3249</f>
        <v>3648</v>
      </c>
      <c r="N51" s="4">
        <f>399+1648</f>
        <v>2047</v>
      </c>
      <c r="O51" s="4">
        <f>1929+5727</f>
        <v>7656</v>
      </c>
      <c r="P51" s="4">
        <f>969+4486</f>
        <v>5455</v>
      </c>
      <c r="Q51" s="4">
        <f>1827+3077</f>
        <v>4904</v>
      </c>
      <c r="R51" s="125">
        <v>6689</v>
      </c>
      <c r="S51" s="104">
        <f>SUM(G51:R51)/12</f>
        <v>4780.833333333333</v>
      </c>
      <c r="T51" s="109">
        <f>SUM(F51:R51)/13</f>
        <v>4754.615384615385</v>
      </c>
      <c r="U51" s="3"/>
    </row>
    <row r="52" spans="2:21" ht="12">
      <c r="B52" t="s">
        <v>535</v>
      </c>
      <c r="F52" s="116">
        <f>SUM(F48:F51)</f>
        <v>326339</v>
      </c>
      <c r="G52" s="3">
        <f>SUM(G48:G51)</f>
        <v>286633</v>
      </c>
      <c r="H52" s="3">
        <f aca="true" t="shared" si="16" ref="H52:T52">SUM(H48:H51)</f>
        <v>233747.59</v>
      </c>
      <c r="I52" s="3">
        <f t="shared" si="16"/>
        <v>246142.53</v>
      </c>
      <c r="J52" s="3">
        <f t="shared" si="16"/>
        <v>179583.03</v>
      </c>
      <c r="K52" s="3">
        <f t="shared" si="16"/>
        <v>138736.82</v>
      </c>
      <c r="L52" s="3">
        <f t="shared" si="16"/>
        <v>138453.55</v>
      </c>
      <c r="M52" s="3">
        <f t="shared" si="16"/>
        <v>126866</v>
      </c>
      <c r="N52" s="3">
        <f t="shared" si="16"/>
        <v>132395</v>
      </c>
      <c r="O52" s="3">
        <f t="shared" si="16"/>
        <v>171596</v>
      </c>
      <c r="P52" s="3">
        <f t="shared" si="16"/>
        <v>275838</v>
      </c>
      <c r="Q52" s="3">
        <f t="shared" si="16"/>
        <v>334945</v>
      </c>
      <c r="R52" s="55">
        <f t="shared" si="16"/>
        <v>367707</v>
      </c>
      <c r="S52" s="102">
        <f t="shared" si="16"/>
        <v>219386.96000000002</v>
      </c>
      <c r="T52" s="108">
        <f t="shared" si="16"/>
        <v>227614.03999999998</v>
      </c>
      <c r="U52" s="3"/>
    </row>
    <row r="53" spans="6:21" ht="12">
      <c r="F53" s="116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55"/>
      <c r="S53" s="102"/>
      <c r="T53" s="108"/>
      <c r="U53" s="3"/>
    </row>
    <row r="54" spans="1:21" ht="12">
      <c r="A54" t="s">
        <v>105</v>
      </c>
      <c r="F54" s="120">
        <v>70278</v>
      </c>
      <c r="G54" s="3">
        <v>74666</v>
      </c>
      <c r="H54" s="47">
        <v>74666</v>
      </c>
      <c r="I54" s="47">
        <v>74666</v>
      </c>
      <c r="J54" s="47">
        <v>74666</v>
      </c>
      <c r="K54" s="47">
        <v>74666</v>
      </c>
      <c r="L54" s="47">
        <v>74666</v>
      </c>
      <c r="M54" s="47">
        <v>58896</v>
      </c>
      <c r="N54" s="47">
        <v>58896</v>
      </c>
      <c r="O54" s="47">
        <v>58896</v>
      </c>
      <c r="P54" s="47">
        <v>58896</v>
      </c>
      <c r="Q54" s="47">
        <v>58896</v>
      </c>
      <c r="R54" s="127">
        <v>40296</v>
      </c>
      <c r="S54" s="102">
        <f>SUM(G54:R54)/12</f>
        <v>65231</v>
      </c>
      <c r="T54" s="110">
        <f>SUM(F54:R54)/13</f>
        <v>65619.23076923077</v>
      </c>
      <c r="U54" s="3"/>
    </row>
    <row r="55" spans="6:21" ht="12">
      <c r="F55" s="116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55"/>
      <c r="S55" s="102"/>
      <c r="T55" s="108"/>
      <c r="U55" s="3"/>
    </row>
    <row r="56" spans="1:21" ht="12">
      <c r="A56" t="s">
        <v>106</v>
      </c>
      <c r="F56" s="116">
        <v>-1125281</v>
      </c>
      <c r="G56" s="3">
        <v>-1045454</v>
      </c>
      <c r="H56" s="3">
        <v>-1048503</v>
      </c>
      <c r="I56" s="3">
        <v>-1051552</v>
      </c>
      <c r="J56" s="3">
        <v>-1054601</v>
      </c>
      <c r="K56" s="3">
        <v>-1057650</v>
      </c>
      <c r="L56" s="3">
        <v>-1060699</v>
      </c>
      <c r="M56" s="3">
        <v>-1063748</v>
      </c>
      <c r="N56" s="3">
        <v>-1066797</v>
      </c>
      <c r="O56" s="3">
        <v>-1069846</v>
      </c>
      <c r="P56" s="3">
        <v>-1072895</v>
      </c>
      <c r="Q56" s="3">
        <v>-1075944</v>
      </c>
      <c r="R56" s="55">
        <v>-1135035</v>
      </c>
      <c r="S56" s="102">
        <f>SUM(G56:R56)/12</f>
        <v>-1066893.6666666667</v>
      </c>
      <c r="T56" s="110">
        <f>SUM(F56:R56)/13</f>
        <v>-1071385</v>
      </c>
      <c r="U56" s="3"/>
    </row>
    <row r="57" spans="7:21" ht="12"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55"/>
      <c r="S57" s="102"/>
      <c r="T57" s="108"/>
      <c r="U57" s="3"/>
    </row>
    <row r="58" spans="1:21" ht="12">
      <c r="A58" t="s">
        <v>446</v>
      </c>
      <c r="F58" s="116">
        <v>-7755</v>
      </c>
      <c r="G58" s="3">
        <f>F58</f>
        <v>-7755</v>
      </c>
      <c r="H58" s="3">
        <f aca="true" t="shared" si="17" ref="H58:O58">G58</f>
        <v>-7755</v>
      </c>
      <c r="I58" s="3">
        <f t="shared" si="17"/>
        <v>-7755</v>
      </c>
      <c r="J58" s="3">
        <f t="shared" si="17"/>
        <v>-7755</v>
      </c>
      <c r="K58" s="3">
        <f t="shared" si="17"/>
        <v>-7755</v>
      </c>
      <c r="L58" s="3">
        <f t="shared" si="17"/>
        <v>-7755</v>
      </c>
      <c r="M58" s="3">
        <f t="shared" si="17"/>
        <v>-7755</v>
      </c>
      <c r="N58" s="3">
        <f t="shared" si="17"/>
        <v>-7755</v>
      </c>
      <c r="O58" s="3">
        <f t="shared" si="17"/>
        <v>-7755</v>
      </c>
      <c r="P58" s="3">
        <f>Q58</f>
        <v>-14044</v>
      </c>
      <c r="Q58" s="3">
        <f>R58</f>
        <v>-14044</v>
      </c>
      <c r="R58" s="55">
        <v>-14044</v>
      </c>
      <c r="S58" s="102">
        <f>SUM(G58:R58)/12</f>
        <v>-9327.25</v>
      </c>
      <c r="T58" s="110">
        <f>SUM(F58:R58)/13</f>
        <v>-9206.307692307691</v>
      </c>
      <c r="U58" s="3">
        <v>2569</v>
      </c>
    </row>
    <row r="59" spans="7:21" ht="12"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55"/>
      <c r="S59" s="102"/>
      <c r="T59" s="108"/>
      <c r="U59" s="3"/>
    </row>
    <row r="60" spans="1:20" ht="12">
      <c r="A60" t="s">
        <v>447</v>
      </c>
      <c r="F60" s="121">
        <v>-171975</v>
      </c>
      <c r="G60" s="98">
        <v>-171975</v>
      </c>
      <c r="H60" s="98">
        <v>-171975</v>
      </c>
      <c r="I60" s="98">
        <v>-171975</v>
      </c>
      <c r="J60" s="98">
        <v>-171975</v>
      </c>
      <c r="K60" s="98">
        <v>-171975</v>
      </c>
      <c r="L60" s="98">
        <v>-171975</v>
      </c>
      <c r="M60" s="98">
        <v>-171975</v>
      </c>
      <c r="N60" s="98">
        <v>-171975</v>
      </c>
      <c r="O60" s="98">
        <v>-171975</v>
      </c>
      <c r="P60" s="98">
        <v>-171975</v>
      </c>
      <c r="Q60" s="98">
        <v>-171975</v>
      </c>
      <c r="R60" s="128">
        <v>-171975</v>
      </c>
      <c r="S60" s="102">
        <f>SUM(G60:R60)/12</f>
        <v>-171975</v>
      </c>
      <c r="T60" s="110">
        <f>SUM(F60:R60)/13</f>
        <v>-171975</v>
      </c>
    </row>
    <row r="61" spans="1:20" ht="12">
      <c r="A61" t="s">
        <v>449</v>
      </c>
      <c r="F61" s="122">
        <v>64007</v>
      </c>
      <c r="G61" s="100">
        <v>58223</v>
      </c>
      <c r="H61" s="100">
        <v>58475</v>
      </c>
      <c r="I61" s="99">
        <v>58727</v>
      </c>
      <c r="J61" s="99">
        <v>58979</v>
      </c>
      <c r="K61" s="99">
        <v>59231</v>
      </c>
      <c r="L61" s="99">
        <v>59483</v>
      </c>
      <c r="M61" s="99">
        <v>59735</v>
      </c>
      <c r="N61" s="99">
        <v>59987</v>
      </c>
      <c r="O61" s="99">
        <v>60239</v>
      </c>
      <c r="P61" s="99">
        <v>60491</v>
      </c>
      <c r="Q61" s="99">
        <v>60743</v>
      </c>
      <c r="R61" s="129">
        <v>67025</v>
      </c>
      <c r="S61" s="102">
        <f>SUM(G61:R61)/12</f>
        <v>60111.5</v>
      </c>
      <c r="T61" s="110">
        <f>SUM(F61:R61)/13</f>
        <v>60411.153846153844</v>
      </c>
    </row>
    <row r="62" spans="1:20" ht="12">
      <c r="A62" t="s">
        <v>450</v>
      </c>
      <c r="F62" s="121">
        <f>F60+F61</f>
        <v>-107968</v>
      </c>
      <c r="G62" s="98">
        <f aca="true" t="shared" si="18" ref="G62:R62">G60+G61</f>
        <v>-113752</v>
      </c>
      <c r="H62" s="98">
        <f t="shared" si="18"/>
        <v>-113500</v>
      </c>
      <c r="I62" s="98">
        <f t="shared" si="18"/>
        <v>-113248</v>
      </c>
      <c r="J62" s="98">
        <f t="shared" si="18"/>
        <v>-112996</v>
      </c>
      <c r="K62" s="98">
        <f t="shared" si="18"/>
        <v>-112744</v>
      </c>
      <c r="L62" s="98">
        <f t="shared" si="18"/>
        <v>-112492</v>
      </c>
      <c r="M62" s="98">
        <f t="shared" si="18"/>
        <v>-112240</v>
      </c>
      <c r="N62" s="98">
        <f t="shared" si="18"/>
        <v>-111988</v>
      </c>
      <c r="O62" s="98">
        <f t="shared" si="18"/>
        <v>-111736</v>
      </c>
      <c r="P62" s="98">
        <f t="shared" si="18"/>
        <v>-111484</v>
      </c>
      <c r="Q62" s="98">
        <f t="shared" si="18"/>
        <v>-111232</v>
      </c>
      <c r="R62" s="128">
        <f t="shared" si="18"/>
        <v>-104950</v>
      </c>
      <c r="S62" s="106">
        <f>S60+S61</f>
        <v>-111863.5</v>
      </c>
      <c r="T62" s="110">
        <f>SUM(F62:R62)/13</f>
        <v>-111563.84615384616</v>
      </c>
    </row>
    <row r="64" spans="1:20" ht="12">
      <c r="A64" t="s">
        <v>369</v>
      </c>
      <c r="F64" s="123">
        <f>F62+F58+F57+F56+F54+F52+F45+F43+F41</f>
        <v>5165115.687285183</v>
      </c>
      <c r="G64" s="97">
        <f aca="true" t="shared" si="19" ref="G64:R64">G62+G58+G57+G56+G54+G52+G45+G43+G41</f>
        <v>5191736.687285183</v>
      </c>
      <c r="H64" s="97">
        <f t="shared" si="19"/>
        <v>5126936.277285184</v>
      </c>
      <c r="I64" s="97">
        <f t="shared" si="19"/>
        <v>5129915.217285183</v>
      </c>
      <c r="J64" s="97">
        <f t="shared" si="19"/>
        <v>5053916.717285183</v>
      </c>
      <c r="K64" s="97">
        <f t="shared" si="19"/>
        <v>5020064.507285183</v>
      </c>
      <c r="L64" s="97">
        <f t="shared" si="19"/>
        <v>5007865.237285184</v>
      </c>
      <c r="M64" s="97">
        <f t="shared" si="19"/>
        <v>4969791.687285183</v>
      </c>
      <c r="N64" s="97">
        <f t="shared" si="19"/>
        <v>4979930.687285183</v>
      </c>
      <c r="O64" s="97">
        <f t="shared" si="19"/>
        <v>4950422.687285183</v>
      </c>
      <c r="P64" s="97">
        <f t="shared" si="19"/>
        <v>5036459.687285183</v>
      </c>
      <c r="Q64" s="97">
        <f t="shared" si="19"/>
        <v>5080202.687285183</v>
      </c>
      <c r="R64" s="130">
        <f t="shared" si="19"/>
        <v>5025373.687285183</v>
      </c>
      <c r="S64" s="97">
        <f>S62+S58+S57+S56+S54+S52+S45+S43+S41</f>
        <v>5047717.980618518</v>
      </c>
      <c r="T64" s="97">
        <f>T62+T58+T57+T56+T54+T52+T45+T43+T41</f>
        <v>5056748.573439028</v>
      </c>
    </row>
    <row r="68" ht="12">
      <c r="A68" t="s">
        <v>452</v>
      </c>
    </row>
    <row r="69" ht="12">
      <c r="B69" t="s">
        <v>6</v>
      </c>
    </row>
    <row r="74" ht="12">
      <c r="A74" t="s">
        <v>453</v>
      </c>
    </row>
    <row r="79" ht="12">
      <c r="A79" t="s">
        <v>454</v>
      </c>
    </row>
  </sheetData>
  <printOptions/>
  <pageMargins left="0.25" right="0.25" top="0.91" bottom="0.26" header="0.91" footer="0.26"/>
  <pageSetup fitToHeight="1" fitToWidth="1" horizontalDpi="300" verticalDpi="300" orientation="landscape" scale="54"/>
  <ignoredErrors>
    <ignoredError sqref="S18:S19" formulaRange="1"/>
    <ignoredError sqref="S23" 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44"/>
  <sheetViews>
    <sheetView workbookViewId="0" topLeftCell="A1">
      <selection activeCell="B4" sqref="B4"/>
    </sheetView>
  </sheetViews>
  <sheetFormatPr defaultColWidth="8.8515625" defaultRowHeight="12.75"/>
  <cols>
    <col min="1" max="1" width="5.28125" style="0" customWidth="1"/>
    <col min="2" max="2" width="12.421875" style="0" customWidth="1"/>
    <col min="3" max="3" width="4.7109375" style="0" customWidth="1"/>
    <col min="4" max="4" width="1.421875" style="0" customWidth="1"/>
    <col min="5" max="5" width="10.140625" style="0" bestFit="1" customWidth="1"/>
    <col min="6" max="6" width="3.8515625" style="0" customWidth="1"/>
    <col min="7" max="7" width="9.7109375" style="0" customWidth="1"/>
    <col min="8" max="8" width="5.421875" style="0" customWidth="1"/>
    <col min="9" max="9" width="10.140625" style="0" bestFit="1" customWidth="1"/>
    <col min="10" max="10" width="3.421875" style="0" customWidth="1"/>
    <col min="11" max="11" width="10.28125" style="0" customWidth="1"/>
    <col min="12" max="12" width="10.140625" style="0" bestFit="1" customWidth="1"/>
  </cols>
  <sheetData>
    <row r="3" spans="2:11" ht="12.75">
      <c r="B3" s="65" t="s">
        <v>368</v>
      </c>
      <c r="D3" s="1"/>
      <c r="F3" s="1"/>
      <c r="G3" s="1"/>
      <c r="H3" s="1"/>
      <c r="I3" s="1"/>
      <c r="J3" s="1"/>
      <c r="K3" t="s">
        <v>325</v>
      </c>
    </row>
    <row r="4" spans="2:10" ht="12">
      <c r="B4" t="s">
        <v>10</v>
      </c>
      <c r="C4" s="50"/>
      <c r="D4" s="50"/>
      <c r="E4" s="50"/>
      <c r="F4" s="50"/>
      <c r="G4" s="50"/>
      <c r="H4" s="50"/>
      <c r="I4" s="50"/>
      <c r="J4" s="50"/>
    </row>
    <row r="5" spans="3:10" ht="12">
      <c r="C5" s="1"/>
      <c r="D5" s="1"/>
      <c r="E5" s="1"/>
      <c r="F5" s="1"/>
      <c r="G5" s="1" t="s">
        <v>459</v>
      </c>
      <c r="H5" s="1"/>
      <c r="I5" s="1"/>
      <c r="J5" s="1"/>
    </row>
    <row r="6" spans="3:10" ht="12">
      <c r="C6" s="1"/>
      <c r="D6" s="1"/>
      <c r="E6" s="1"/>
      <c r="F6" s="1"/>
      <c r="G6" s="180" t="s">
        <v>7</v>
      </c>
      <c r="H6" s="1"/>
      <c r="I6" s="1"/>
      <c r="J6" s="1"/>
    </row>
    <row r="9" spans="1:11" ht="12">
      <c r="A9" t="s">
        <v>321</v>
      </c>
      <c r="E9" s="215" t="s">
        <v>140</v>
      </c>
      <c r="F9" s="215"/>
      <c r="G9" s="215"/>
      <c r="I9" s="215" t="s">
        <v>141</v>
      </c>
      <c r="J9" s="215"/>
      <c r="K9" s="215"/>
    </row>
    <row r="10" spans="2:11" ht="12">
      <c r="B10" t="s">
        <v>67</v>
      </c>
      <c r="E10" s="1" t="s">
        <v>322</v>
      </c>
      <c r="F10" s="1"/>
      <c r="G10" s="1" t="s">
        <v>486</v>
      </c>
      <c r="I10" s="1" t="s">
        <v>322</v>
      </c>
      <c r="J10" s="1"/>
      <c r="K10" s="1" t="s">
        <v>486</v>
      </c>
    </row>
    <row r="12" spans="2:11" ht="12">
      <c r="B12" t="s">
        <v>265</v>
      </c>
      <c r="E12" s="3">
        <f>'Sched 1-C'!C10</f>
        <v>28196</v>
      </c>
      <c r="F12" s="3"/>
      <c r="G12" s="188">
        <f>'MONTHLY SALES'!M12</f>
        <v>391159.87999999995</v>
      </c>
      <c r="I12" s="20">
        <f>'Sched 1-C'!J10</f>
        <v>31243.573376102642</v>
      </c>
      <c r="K12" s="188">
        <f>I12*K$25/I$25</f>
        <v>422448.25724269816</v>
      </c>
    </row>
    <row r="13" spans="2:11" ht="12">
      <c r="B13" t="s">
        <v>280</v>
      </c>
      <c r="E13" s="3">
        <f>'Sched 1-C'!C11</f>
        <v>26490.07</v>
      </c>
      <c r="F13" s="3"/>
      <c r="G13" s="3">
        <f>'MONTHLY SALES'!M13</f>
        <v>368895.71</v>
      </c>
      <c r="I13" s="20">
        <f>'Sched 1-C'!J11</f>
        <v>26177.568944765044</v>
      </c>
      <c r="K13" s="3">
        <f>I13*K$25/I$25</f>
        <v>353950.1786957904</v>
      </c>
    </row>
    <row r="14" spans="2:11" ht="12">
      <c r="B14" t="s">
        <v>506</v>
      </c>
      <c r="E14" s="3">
        <f>'Sched 1-C'!C12</f>
        <v>21324.03</v>
      </c>
      <c r="F14" s="3"/>
      <c r="G14" s="3">
        <f>'MONTHLY SALES'!M14</f>
        <v>297639.27999999997</v>
      </c>
      <c r="I14" s="20">
        <f>'Sched 1-C'!J12</f>
        <v>21455.401616358322</v>
      </c>
      <c r="K14" s="3">
        <f aca="true" t="shared" si="0" ref="K14:K22">I14*K$25/I$25</f>
        <v>290101.1645551848</v>
      </c>
    </row>
    <row r="15" spans="2:11" ht="12">
      <c r="B15" t="s">
        <v>409</v>
      </c>
      <c r="E15" s="3">
        <f>'Sched 1-C'!C13</f>
        <v>11643.92</v>
      </c>
      <c r="F15" s="3"/>
      <c r="G15" s="3">
        <f>'MONTHLY SALES'!M15</f>
        <v>171022.80999999997</v>
      </c>
      <c r="I15" s="20">
        <f>'Sched 1-C'!J13</f>
        <v>11996.139444444445</v>
      </c>
      <c r="K15" s="3">
        <f t="shared" si="0"/>
        <v>162201.29947818734</v>
      </c>
    </row>
    <row r="16" spans="2:11" ht="12">
      <c r="B16" t="s">
        <v>255</v>
      </c>
      <c r="E16" s="3">
        <f>'Sched 1-C'!C14</f>
        <v>5467.34</v>
      </c>
      <c r="F16" s="3"/>
      <c r="G16" s="3">
        <f>'MONTHLY SALES'!M16</f>
        <v>77845.73</v>
      </c>
      <c r="I16" s="20">
        <f>'Sched 1-C'!J14</f>
        <v>4704.274818941504</v>
      </c>
      <c r="K16" s="3">
        <f t="shared" si="0"/>
        <v>63607.08728575167</v>
      </c>
    </row>
    <row r="17" spans="2:11" ht="12">
      <c r="B17" t="s">
        <v>256</v>
      </c>
      <c r="E17" s="3">
        <f>'Sched 1-C'!C15</f>
        <v>1238.9</v>
      </c>
      <c r="F17" s="3"/>
      <c r="G17" s="3">
        <f>'MONTHLY SALES'!M17</f>
        <v>15941.75</v>
      </c>
      <c r="I17" s="20">
        <f>'Sched 1-C'!J15</f>
        <v>1238.9</v>
      </c>
      <c r="K17" s="3">
        <f t="shared" si="0"/>
        <v>16751.32161093619</v>
      </c>
    </row>
    <row r="18" spans="2:11" ht="12">
      <c r="B18" t="s">
        <v>257</v>
      </c>
      <c r="E18" s="3">
        <f>'Sched 1-C'!C16</f>
        <v>697.33</v>
      </c>
      <c r="F18" s="3"/>
      <c r="G18" s="3">
        <f>'MONTHLY SALES'!M18</f>
        <v>10553.07</v>
      </c>
      <c r="I18" s="20">
        <f>'Sched 1-C'!J16</f>
        <v>697.33</v>
      </c>
      <c r="K18" s="3">
        <f t="shared" si="0"/>
        <v>9428.686010940459</v>
      </c>
    </row>
    <row r="19" spans="2:11" ht="12">
      <c r="B19" t="s">
        <v>258</v>
      </c>
      <c r="E19" s="3">
        <f>'Sched 1-C'!C17</f>
        <v>729.89</v>
      </c>
      <c r="F19" s="3"/>
      <c r="G19" s="3">
        <f>'MONTHLY SALES'!M19</f>
        <v>11583.35</v>
      </c>
      <c r="I19" s="20">
        <f>'Sched 1-C'!J17</f>
        <v>729.89</v>
      </c>
      <c r="K19" s="3">
        <f t="shared" si="0"/>
        <v>9868.933836957152</v>
      </c>
    </row>
    <row r="20" spans="2:11" ht="12">
      <c r="B20" t="s">
        <v>240</v>
      </c>
      <c r="E20" s="3">
        <f>'Sched 1-C'!C18</f>
        <v>1434.86</v>
      </c>
      <c r="F20" s="3"/>
      <c r="G20" s="3">
        <f>'MONTHLY SALES'!M20</f>
        <v>21321.119999999995</v>
      </c>
      <c r="I20" s="20">
        <f>'Sched 1-C'!J18</f>
        <v>1834.86</v>
      </c>
      <c r="K20" s="3">
        <f t="shared" si="0"/>
        <v>24809.37119302799</v>
      </c>
    </row>
    <row r="21" spans="2:11" ht="12">
      <c r="B21" t="s">
        <v>279</v>
      </c>
      <c r="E21" s="3">
        <f>'Sched 1-C'!C19</f>
        <v>8172.41</v>
      </c>
      <c r="F21" s="3"/>
      <c r="G21" s="3">
        <f>'MONTHLY SALES'!M21</f>
        <v>122551.45999999999</v>
      </c>
      <c r="I21" s="20">
        <f>'Sched 1-C'!J19</f>
        <v>8548.572704174228</v>
      </c>
      <c r="K21" s="3">
        <f t="shared" si="0"/>
        <v>115586.31905891756</v>
      </c>
    </row>
    <row r="22" spans="2:11" ht="12">
      <c r="B22" t="s">
        <v>365</v>
      </c>
      <c r="E22" s="3">
        <f>'Sched 1-C'!C20</f>
        <v>13677.95</v>
      </c>
      <c r="F22" s="3"/>
      <c r="G22" s="3">
        <f>'MONTHLY SALES'!M22</f>
        <v>204038.47</v>
      </c>
      <c r="I22" s="20">
        <f>'Sched 1-C'!J20</f>
        <v>17016.131132075472</v>
      </c>
      <c r="K22" s="3">
        <f t="shared" si="0"/>
        <v>230077.2339714747</v>
      </c>
    </row>
    <row r="23" spans="2:11" ht="12">
      <c r="B23" t="s">
        <v>366</v>
      </c>
      <c r="E23" s="3">
        <f>'Sched 1-C'!C21</f>
        <v>24966.74</v>
      </c>
      <c r="F23" s="3"/>
      <c r="G23" s="3">
        <f>'MONTHLY SALES'!M23</f>
        <v>361396.48000000004</v>
      </c>
      <c r="I23" s="20">
        <f>'Sched 1-C'!J21</f>
        <v>24743.76386554622</v>
      </c>
      <c r="K23" s="3">
        <f>I23*K$25/I$25</f>
        <v>334563.5211694458</v>
      </c>
    </row>
    <row r="24" spans="5:7" ht="12">
      <c r="E24" s="3"/>
      <c r="F24" s="3"/>
      <c r="G24" s="3"/>
    </row>
    <row r="25" spans="5:12" ht="12">
      <c r="E25" s="3">
        <f>SUM(E12:E24)</f>
        <v>144039.44</v>
      </c>
      <c r="F25" s="3"/>
      <c r="G25" s="3">
        <f>SUM(G12:G24)</f>
        <v>2053949.11</v>
      </c>
      <c r="I25" s="3">
        <f>SUM(I12:I24)</f>
        <v>150386.4059024079</v>
      </c>
      <c r="K25" s="3">
        <f>'Sched 1'!F12</f>
        <v>2033393.3741093124</v>
      </c>
      <c r="L25" s="47"/>
    </row>
    <row r="26" spans="11:12" ht="12">
      <c r="K26" s="48"/>
      <c r="L26" s="86"/>
    </row>
    <row r="31" spans="2:11" ht="12">
      <c r="B31" t="s">
        <v>68</v>
      </c>
      <c r="G31" s="3">
        <f>'Sched 1'!D13</f>
        <v>2281128.46</v>
      </c>
      <c r="K31" s="3">
        <f>'Sched 1'!F13</f>
        <v>2522115.48</v>
      </c>
    </row>
    <row r="32" spans="2:11" ht="12">
      <c r="B32" t="s">
        <v>69</v>
      </c>
      <c r="G32" s="3">
        <f>'Sched 1'!F14</f>
        <v>31900</v>
      </c>
      <c r="K32" s="3">
        <f>'Sched 1'!F14</f>
        <v>31900</v>
      </c>
    </row>
    <row r="33" spans="2:11" ht="12">
      <c r="B33" t="s">
        <v>70</v>
      </c>
      <c r="G33" s="3">
        <f>'Sched 1'!D16</f>
        <v>267637</v>
      </c>
      <c r="K33" s="3">
        <f>'Sched 1'!F16</f>
        <v>134803</v>
      </c>
    </row>
    <row r="34" spans="2:11" ht="12">
      <c r="B34" t="s">
        <v>217</v>
      </c>
      <c r="G34" s="3">
        <f>'Sched 1'!D15</f>
        <v>150827</v>
      </c>
      <c r="K34" s="179">
        <f>'Sched 1'!F15</f>
        <v>150827</v>
      </c>
    </row>
    <row r="36" ht="12">
      <c r="A36" t="s">
        <v>303</v>
      </c>
    </row>
    <row r="37" spans="2:9" ht="12">
      <c r="B37" t="s">
        <v>399</v>
      </c>
      <c r="I37" s="3">
        <f>-'Sched A'!G23</f>
        <v>341939.67043358565</v>
      </c>
    </row>
    <row r="38" spans="2:9" ht="12">
      <c r="B38" t="s">
        <v>444</v>
      </c>
      <c r="I38" s="47">
        <f>K25</f>
        <v>2033393.3741093124</v>
      </c>
    </row>
    <row r="39" spans="2:9" ht="12">
      <c r="B39" t="s">
        <v>400</v>
      </c>
      <c r="I39" s="47">
        <f>I38+I37</f>
        <v>2375333.044542898</v>
      </c>
    </row>
    <row r="40" spans="2:9" ht="12">
      <c r="B40" t="s">
        <v>98</v>
      </c>
      <c r="I40" s="47">
        <f>K31+K32+K33</f>
        <v>2688818.48</v>
      </c>
    </row>
    <row r="41" spans="2:9" ht="12">
      <c r="B41" t="s">
        <v>216</v>
      </c>
      <c r="I41" s="47">
        <f>G34</f>
        <v>150827</v>
      </c>
    </row>
    <row r="42" ht="12">
      <c r="I42" s="47"/>
    </row>
    <row r="43" spans="2:9" ht="12">
      <c r="B43" t="s">
        <v>571</v>
      </c>
      <c r="I43" s="47">
        <f>I41+I40+I39</f>
        <v>5214978.524542898</v>
      </c>
    </row>
    <row r="44" ht="12">
      <c r="I44" s="47"/>
    </row>
  </sheetData>
  <mergeCells count="2">
    <mergeCell ref="E9:G9"/>
    <mergeCell ref="I9:K9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B3:F17"/>
  <sheetViews>
    <sheetView workbookViewId="0" topLeftCell="A1">
      <selection activeCell="B4" sqref="B4"/>
    </sheetView>
  </sheetViews>
  <sheetFormatPr defaultColWidth="11.57421875" defaultRowHeight="12.75"/>
  <cols>
    <col min="4" max="4" width="11.140625" style="0" bestFit="1" customWidth="1"/>
  </cols>
  <sheetData>
    <row r="3" spans="2:6" ht="12.75">
      <c r="B3" s="65" t="s">
        <v>368</v>
      </c>
      <c r="F3" t="s">
        <v>224</v>
      </c>
    </row>
    <row r="4" ht="12">
      <c r="B4" t="s">
        <v>10</v>
      </c>
    </row>
    <row r="9" ht="12">
      <c r="D9" s="1" t="s">
        <v>223</v>
      </c>
    </row>
    <row r="11" ht="12">
      <c r="D11" t="s">
        <v>227</v>
      </c>
    </row>
    <row r="13" spans="2:4" ht="12">
      <c r="B13" t="s">
        <v>540</v>
      </c>
      <c r="D13" s="7">
        <v>6000</v>
      </c>
    </row>
    <row r="14" ht="12">
      <c r="D14" s="7"/>
    </row>
    <row r="15" spans="2:4" ht="12">
      <c r="B15" t="s">
        <v>541</v>
      </c>
      <c r="D15" s="7">
        <v>8000</v>
      </c>
    </row>
    <row r="16" ht="12">
      <c r="D16" s="7"/>
    </row>
    <row r="17" spans="3:4" ht="12">
      <c r="C17" t="s">
        <v>289</v>
      </c>
      <c r="D17" s="7">
        <f>D13+D15</f>
        <v>14000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4:H71"/>
  <sheetViews>
    <sheetView workbookViewId="0" topLeftCell="A1">
      <selection activeCell="B5" sqref="B5"/>
    </sheetView>
  </sheetViews>
  <sheetFormatPr defaultColWidth="11.57421875" defaultRowHeight="12.75"/>
  <cols>
    <col min="1" max="1" width="4.8515625" style="0" customWidth="1"/>
    <col min="2" max="2" width="4.7109375" style="0" customWidth="1"/>
    <col min="3" max="3" width="6.8515625" style="0" customWidth="1"/>
    <col min="4" max="4" width="6.28125" style="0" customWidth="1"/>
    <col min="5" max="5" width="11.7109375" style="0" customWidth="1"/>
    <col min="6" max="6" width="10.7109375" style="0" bestFit="1" customWidth="1"/>
    <col min="7" max="7" width="12.00390625" style="0" bestFit="1" customWidth="1"/>
  </cols>
  <sheetData>
    <row r="4" spans="2:8" ht="12.75">
      <c r="B4" s="65" t="s">
        <v>368</v>
      </c>
      <c r="H4" t="s">
        <v>248</v>
      </c>
    </row>
    <row r="5" spans="2:8" ht="12">
      <c r="B5" t="s">
        <v>10</v>
      </c>
      <c r="H5" t="s">
        <v>136</v>
      </c>
    </row>
    <row r="9" ht="12">
      <c r="E9" t="s">
        <v>137</v>
      </c>
    </row>
    <row r="14" spans="5:7" ht="12">
      <c r="E14" t="s">
        <v>197</v>
      </c>
      <c r="F14" t="s">
        <v>348</v>
      </c>
      <c r="G14" t="s">
        <v>173</v>
      </c>
    </row>
    <row r="15" spans="5:7" ht="12">
      <c r="E15" t="s">
        <v>198</v>
      </c>
      <c r="F15" t="s">
        <v>349</v>
      </c>
      <c r="G15" t="s">
        <v>349</v>
      </c>
    </row>
    <row r="17" spans="2:7" ht="12">
      <c r="B17" t="s">
        <v>445</v>
      </c>
      <c r="E17" s="66">
        <f>G49</f>
        <v>0.7207467586631172</v>
      </c>
      <c r="F17" s="13">
        <v>0.08</v>
      </c>
      <c r="G17" s="66">
        <f>F17*E17</f>
        <v>0.057659740693049376</v>
      </c>
    </row>
    <row r="19" spans="2:7" ht="12">
      <c r="B19" t="s">
        <v>309</v>
      </c>
      <c r="E19" s="66">
        <f>G54</f>
        <v>0</v>
      </c>
      <c r="F19" s="13">
        <v>0</v>
      </c>
      <c r="G19">
        <v>0</v>
      </c>
    </row>
    <row r="21" spans="2:7" ht="12">
      <c r="B21" t="s">
        <v>483</v>
      </c>
      <c r="E21" s="66">
        <f>G63</f>
        <v>0.1629935697101227</v>
      </c>
      <c r="F21" s="66">
        <f>'Sched 6.5'!H25</f>
        <v>0.0529094560405922</v>
      </c>
      <c r="G21" s="66">
        <f>F21*E21</f>
        <v>0.008623901111476937</v>
      </c>
    </row>
    <row r="23" spans="2:7" ht="12">
      <c r="B23" t="s">
        <v>252</v>
      </c>
      <c r="E23" s="66">
        <f>G65</f>
        <v>0.1162596716267601</v>
      </c>
      <c r="F23" s="13">
        <f>'Sched 6.6'!C17</f>
        <v>0.0525</v>
      </c>
      <c r="G23" s="66">
        <f>F23*E23</f>
        <v>0.006103632760404905</v>
      </c>
    </row>
    <row r="25" spans="6:7" ht="12">
      <c r="F25" t="s">
        <v>575</v>
      </c>
      <c r="G25" s="66">
        <f>G17+G21+G23</f>
        <v>0.07238727456493121</v>
      </c>
    </row>
    <row r="27" ht="12">
      <c r="C27" t="s">
        <v>73</v>
      </c>
    </row>
    <row r="35" spans="2:8" ht="12">
      <c r="B35" t="s">
        <v>99</v>
      </c>
      <c r="H35" t="s">
        <v>248</v>
      </c>
    </row>
    <row r="36" spans="2:8" ht="12">
      <c r="B36" t="s">
        <v>213</v>
      </c>
      <c r="H36" t="s">
        <v>576</v>
      </c>
    </row>
    <row r="39" ht="12">
      <c r="F39" s="1" t="s">
        <v>429</v>
      </c>
    </row>
    <row r="42" spans="2:8" ht="12">
      <c r="B42" t="s">
        <v>352</v>
      </c>
      <c r="F42" s="1" t="s">
        <v>160</v>
      </c>
      <c r="G42" s="1" t="s">
        <v>198</v>
      </c>
      <c r="H42" s="1"/>
    </row>
    <row r="44" ht="12">
      <c r="B44" t="s">
        <v>480</v>
      </c>
    </row>
    <row r="45" spans="3:6" ht="12">
      <c r="C45" t="s">
        <v>329</v>
      </c>
      <c r="F45" s="3">
        <v>91200</v>
      </c>
    </row>
    <row r="46" spans="3:6" ht="12">
      <c r="C46" t="s">
        <v>330</v>
      </c>
      <c r="F46" s="3">
        <v>220653</v>
      </c>
    </row>
    <row r="47" spans="3:6" ht="12">
      <c r="C47" t="s">
        <v>331</v>
      </c>
      <c r="F47" s="3">
        <f>4324217-873000</f>
        <v>3451217</v>
      </c>
    </row>
    <row r="48" spans="3:6" ht="12">
      <c r="C48" t="s">
        <v>332</v>
      </c>
      <c r="F48" s="4">
        <v>0</v>
      </c>
    </row>
    <row r="49" spans="5:7" ht="12">
      <c r="E49" t="s">
        <v>31</v>
      </c>
      <c r="F49" s="3">
        <f>F45+F46+F47</f>
        <v>3763070</v>
      </c>
      <c r="G49" s="13">
        <f>F49/F70</f>
        <v>0.7207467586631172</v>
      </c>
    </row>
    <row r="50" ht="12">
      <c r="F50" s="3"/>
    </row>
    <row r="51" spans="2:6" ht="12">
      <c r="B51" t="s">
        <v>481</v>
      </c>
      <c r="F51" s="3"/>
    </row>
    <row r="52" spans="3:6" ht="12">
      <c r="C52" t="s">
        <v>329</v>
      </c>
      <c r="F52" s="3">
        <v>0</v>
      </c>
    </row>
    <row r="53" spans="3:6" ht="12">
      <c r="C53" t="s">
        <v>332</v>
      </c>
      <c r="F53" s="4">
        <v>0</v>
      </c>
    </row>
    <row r="54" spans="5:7" ht="12">
      <c r="E54" t="s">
        <v>31</v>
      </c>
      <c r="F54" s="3">
        <v>0</v>
      </c>
      <c r="G54" s="13">
        <v>0</v>
      </c>
    </row>
    <row r="55" ht="12">
      <c r="F55" s="3"/>
    </row>
    <row r="56" spans="2:6" ht="12">
      <c r="B56" t="s">
        <v>483</v>
      </c>
      <c r="F56" s="3">
        <f>'Sched 6.5'!G22</f>
        <v>851001</v>
      </c>
    </row>
    <row r="57" spans="2:6" ht="12">
      <c r="B57" t="s">
        <v>333</v>
      </c>
      <c r="F57" s="3">
        <v>0</v>
      </c>
    </row>
    <row r="58" spans="2:6" ht="12">
      <c r="B58" t="s">
        <v>334</v>
      </c>
      <c r="F58" s="3">
        <v>0</v>
      </c>
    </row>
    <row r="59" spans="2:6" ht="12">
      <c r="B59" t="s">
        <v>494</v>
      </c>
      <c r="F59" s="3">
        <v>0</v>
      </c>
    </row>
    <row r="60" spans="2:6" ht="12">
      <c r="B60" t="s">
        <v>495</v>
      </c>
      <c r="F60" s="3">
        <v>0</v>
      </c>
    </row>
    <row r="61" spans="2:6" ht="12">
      <c r="B61" t="s">
        <v>572</v>
      </c>
      <c r="F61" s="3">
        <v>0</v>
      </c>
    </row>
    <row r="62" spans="2:6" ht="12">
      <c r="B62" t="s">
        <v>573</v>
      </c>
      <c r="F62" s="4">
        <v>0</v>
      </c>
    </row>
    <row r="63" spans="5:7" ht="12">
      <c r="E63" t="s">
        <v>31</v>
      </c>
      <c r="F63" s="3">
        <f>SUM(F56:F62)</f>
        <v>851001</v>
      </c>
      <c r="G63" s="13">
        <f>F63/F70</f>
        <v>0.1629935697101227</v>
      </c>
    </row>
    <row r="64" ht="12">
      <c r="F64" s="3"/>
    </row>
    <row r="65" spans="2:7" ht="12">
      <c r="B65" t="s">
        <v>252</v>
      </c>
      <c r="F65" s="3">
        <f>'Sched 6.6'!F17</f>
        <v>607000</v>
      </c>
      <c r="G65" s="13">
        <f>F65/F70</f>
        <v>0.1162596716267601</v>
      </c>
    </row>
    <row r="66" spans="2:7" ht="12">
      <c r="B66" t="s">
        <v>206</v>
      </c>
      <c r="F66" s="3">
        <v>0</v>
      </c>
      <c r="G66" s="13">
        <v>0</v>
      </c>
    </row>
    <row r="67" ht="12">
      <c r="F67" s="3"/>
    </row>
    <row r="68" spans="2:7" ht="12">
      <c r="B68" t="s">
        <v>253</v>
      </c>
      <c r="F68" s="3">
        <v>0</v>
      </c>
      <c r="G68" s="13">
        <v>0</v>
      </c>
    </row>
    <row r="70" spans="5:7" ht="12">
      <c r="E70" s="63" t="s">
        <v>574</v>
      </c>
      <c r="F70" s="3">
        <f>F65+F63+F49</f>
        <v>5221071</v>
      </c>
      <c r="G70" s="66">
        <f>G65+G63+G49</f>
        <v>1</v>
      </c>
    </row>
    <row r="71" ht="12">
      <c r="G71" s="3"/>
    </row>
  </sheetData>
  <printOptions/>
  <pageMargins left="1.2" right="0.75" top="1" bottom="1" header="0.5" footer="0.5"/>
  <pageSetup orientation="portrait" paperSize="9"/>
  <rowBreaks count="1" manualBreakCount="1">
    <brk id="32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21"/>
  <sheetViews>
    <sheetView workbookViewId="0" topLeftCell="A1">
      <selection activeCell="B4" sqref="B4"/>
    </sheetView>
  </sheetViews>
  <sheetFormatPr defaultColWidth="8.8515625" defaultRowHeight="12.75"/>
  <cols>
    <col min="1" max="1" width="7.28125" style="0" customWidth="1"/>
    <col min="3" max="3" width="4.8515625" style="0" customWidth="1"/>
    <col min="4" max="4" width="10.421875" style="0" customWidth="1"/>
    <col min="5" max="5" width="10.28125" style="0" customWidth="1"/>
    <col min="6" max="8" width="10.140625" style="0" bestFit="1" customWidth="1"/>
    <col min="9" max="9" width="10.7109375" style="0" customWidth="1"/>
    <col min="10" max="10" width="11.00390625" style="0" customWidth="1"/>
    <col min="11" max="11" width="10.8515625" style="0" customWidth="1"/>
    <col min="12" max="12" width="10.7109375" style="0" customWidth="1"/>
    <col min="13" max="13" width="10.421875" style="0" bestFit="1" customWidth="1"/>
  </cols>
  <sheetData>
    <row r="3" spans="2:13" ht="12.75">
      <c r="B3" s="65" t="s">
        <v>368</v>
      </c>
      <c r="J3" s="1"/>
      <c r="M3" t="s">
        <v>248</v>
      </c>
    </row>
    <row r="4" spans="2:13" ht="12">
      <c r="B4" t="s">
        <v>10</v>
      </c>
      <c r="G4" s="3"/>
      <c r="J4" s="1"/>
      <c r="M4" t="s">
        <v>231</v>
      </c>
    </row>
    <row r="6" ht="12">
      <c r="J6" s="1" t="s">
        <v>430</v>
      </c>
    </row>
    <row r="9" spans="4:13" ht="12">
      <c r="D9" s="81">
        <v>2008</v>
      </c>
      <c r="E9" s="81">
        <v>2007</v>
      </c>
      <c r="F9" s="81">
        <v>2006</v>
      </c>
      <c r="G9" s="81">
        <v>2005</v>
      </c>
      <c r="H9" s="81">
        <v>2004</v>
      </c>
      <c r="I9" s="81">
        <v>2003</v>
      </c>
      <c r="J9" s="81">
        <v>2002</v>
      </c>
      <c r="K9" s="81">
        <v>2001</v>
      </c>
      <c r="L9" s="81">
        <v>2000</v>
      </c>
      <c r="M9" s="81">
        <v>1999</v>
      </c>
    </row>
    <row r="10" spans="4:5" ht="12">
      <c r="D10" s="3"/>
      <c r="E10" s="3"/>
    </row>
    <row r="11" spans="1:13" ht="12">
      <c r="A11" t="s">
        <v>480</v>
      </c>
      <c r="D11" s="3">
        <f>91200+220653+4324217-873000</f>
        <v>3763070</v>
      </c>
      <c r="E11" s="3">
        <f>91200+220653+4132545-873000</f>
        <v>3571398</v>
      </c>
      <c r="F11" s="3">
        <f>48000+220653+3259543</f>
        <v>3528196</v>
      </c>
      <c r="G11" s="3">
        <f>48000+220653-873000+4434056+2</f>
        <v>3829711</v>
      </c>
      <c r="H11" s="3">
        <f>48000+220653-873000+4437796+2</f>
        <v>3833451</v>
      </c>
      <c r="I11" s="3">
        <f>91200+220653+2141147</f>
        <v>2453000</v>
      </c>
      <c r="J11" s="3">
        <f>91200+220653+2180116</f>
        <v>2491969</v>
      </c>
      <c r="K11" s="3">
        <f>91200+220653+2190778</f>
        <v>2502631</v>
      </c>
      <c r="L11" s="3">
        <f>91200+2481641</f>
        <v>2572841</v>
      </c>
      <c r="M11" s="3">
        <f>91200+2435846</f>
        <v>2527046</v>
      </c>
    </row>
    <row r="12" spans="4:13" ht="12"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">
      <c r="A13" t="s">
        <v>481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</row>
    <row r="14" spans="4:13" ht="12"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">
      <c r="A15" t="s">
        <v>483</v>
      </c>
      <c r="D15" s="3">
        <v>851001</v>
      </c>
      <c r="E15" s="3">
        <v>921081</v>
      </c>
      <c r="F15" s="3">
        <v>918206</v>
      </c>
      <c r="G15" s="3">
        <v>189363</v>
      </c>
      <c r="H15" s="3">
        <v>395924</v>
      </c>
      <c r="I15" s="3">
        <v>486323</v>
      </c>
      <c r="J15" s="3">
        <v>23068</v>
      </c>
      <c r="K15" s="3">
        <v>37656</v>
      </c>
      <c r="L15" s="3">
        <v>13323</v>
      </c>
      <c r="M15" s="3">
        <v>53291</v>
      </c>
    </row>
    <row r="16" spans="4:13" ht="12"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">
      <c r="A17" t="s">
        <v>252</v>
      </c>
      <c r="D17" s="3">
        <v>607000</v>
      </c>
      <c r="E17" s="3">
        <v>482500</v>
      </c>
      <c r="F17" s="3">
        <v>504500</v>
      </c>
      <c r="G17" s="3">
        <v>390500</v>
      </c>
      <c r="H17" s="3">
        <v>0</v>
      </c>
      <c r="I17" s="3">
        <v>160000</v>
      </c>
      <c r="J17" s="3">
        <v>0</v>
      </c>
      <c r="K17" s="3">
        <v>252107</v>
      </c>
      <c r="L17" s="3">
        <v>0</v>
      </c>
      <c r="M17" s="3">
        <v>76120</v>
      </c>
    </row>
    <row r="18" spans="4:13" ht="12"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2">
      <c r="A19" t="s">
        <v>253</v>
      </c>
      <c r="D19" s="4">
        <f>-'Sched 3-B'!R56</f>
        <v>1135035</v>
      </c>
      <c r="E19" s="4">
        <f>-'Sched 3-B'!F56</f>
        <v>1125281</v>
      </c>
      <c r="F19" s="4">
        <v>1078994</v>
      </c>
      <c r="G19" s="4">
        <v>1042405</v>
      </c>
      <c r="H19" s="4">
        <v>738813</v>
      </c>
      <c r="I19" s="4">
        <v>710956</v>
      </c>
      <c r="J19" s="4">
        <v>660708</v>
      </c>
      <c r="K19" s="4">
        <v>648852</v>
      </c>
      <c r="L19" s="4">
        <v>633933</v>
      </c>
      <c r="M19" s="4">
        <v>654272</v>
      </c>
    </row>
    <row r="20" spans="4:13" ht="12">
      <c r="D20" s="3"/>
      <c r="E20" s="3"/>
      <c r="I20" s="3"/>
      <c r="J20" s="3"/>
      <c r="K20" s="3"/>
      <c r="L20" s="3"/>
      <c r="M20" s="3"/>
    </row>
    <row r="21" spans="2:13" ht="12.75" thickBot="1">
      <c r="B21" t="s">
        <v>31</v>
      </c>
      <c r="D21" s="5">
        <f aca="true" t="shared" si="0" ref="D21:M21">SUM(D11:D19)</f>
        <v>6356106</v>
      </c>
      <c r="E21" s="5">
        <f t="shared" si="0"/>
        <v>6100260</v>
      </c>
      <c r="F21" s="5">
        <f t="shared" si="0"/>
        <v>6029896</v>
      </c>
      <c r="G21" s="5">
        <f t="shared" si="0"/>
        <v>5451979</v>
      </c>
      <c r="H21" s="5">
        <f t="shared" si="0"/>
        <v>4968188</v>
      </c>
      <c r="I21" s="5">
        <f t="shared" si="0"/>
        <v>3810279</v>
      </c>
      <c r="J21" s="5">
        <f t="shared" si="0"/>
        <v>3175745</v>
      </c>
      <c r="K21" s="5">
        <f t="shared" si="0"/>
        <v>3441246</v>
      </c>
      <c r="L21" s="5">
        <f t="shared" si="0"/>
        <v>3220097</v>
      </c>
      <c r="M21" s="5">
        <f t="shared" si="0"/>
        <v>3310729</v>
      </c>
    </row>
    <row r="22" ht="12.75" thickTop="1"/>
  </sheetData>
  <printOptions/>
  <pageMargins left="0.75" right="0.72" top="1.53" bottom="1" header="0.5" footer="0.5"/>
  <pageSetup fitToHeight="1" fitToWidth="1" horizontalDpi="300" verticalDpi="300" orientation="landscape" scale="90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25"/>
  <sheetViews>
    <sheetView workbookViewId="0" topLeftCell="A1">
      <selection activeCell="J26" sqref="J26"/>
    </sheetView>
  </sheetViews>
  <sheetFormatPr defaultColWidth="8.8515625" defaultRowHeight="12.75"/>
  <cols>
    <col min="1" max="1" width="3.7109375" style="0" customWidth="1"/>
    <col min="4" max="4" width="3.28125" style="0" customWidth="1"/>
    <col min="5" max="6" width="7.140625" style="0" bestFit="1" customWidth="1"/>
    <col min="7" max="7" width="7.28125" style="0" customWidth="1"/>
    <col min="8" max="10" width="7.140625" style="0" bestFit="1" customWidth="1"/>
    <col min="12" max="12" width="8.8515625" style="0" hidden="1" customWidth="1"/>
  </cols>
  <sheetData>
    <row r="3" spans="2:11" ht="12.75">
      <c r="B3" s="65" t="s">
        <v>368</v>
      </c>
      <c r="K3" s="63" t="s">
        <v>248</v>
      </c>
    </row>
    <row r="4" spans="2:11" ht="12">
      <c r="B4" t="s">
        <v>10</v>
      </c>
      <c r="E4" s="1"/>
      <c r="F4" s="1"/>
      <c r="G4" s="1"/>
      <c r="H4" s="1"/>
      <c r="K4" s="63" t="s">
        <v>236</v>
      </c>
    </row>
    <row r="5" spans="2:8" ht="12.75">
      <c r="B5" s="65"/>
      <c r="E5" s="1"/>
      <c r="F5" s="1"/>
      <c r="G5" s="1"/>
      <c r="H5" s="1"/>
    </row>
    <row r="6" spans="3:9" ht="12">
      <c r="C6" s="50"/>
      <c r="D6" s="50"/>
      <c r="E6" s="50"/>
      <c r="F6" s="50"/>
      <c r="G6" s="50"/>
      <c r="H6" s="50"/>
      <c r="I6" s="50"/>
    </row>
    <row r="7" spans="4:9" ht="12">
      <c r="D7" s="1"/>
      <c r="E7" s="1"/>
      <c r="F7" s="1"/>
      <c r="G7" s="1" t="s">
        <v>18</v>
      </c>
      <c r="H7" s="1"/>
      <c r="I7" s="1"/>
    </row>
    <row r="8" spans="4:9" ht="12">
      <c r="D8" s="1"/>
      <c r="E8" s="1"/>
      <c r="F8" s="1"/>
      <c r="G8" s="1"/>
      <c r="H8" s="1"/>
      <c r="I8" s="1"/>
    </row>
    <row r="10" spans="4:14" ht="12">
      <c r="D10" s="208"/>
      <c r="E10" s="207">
        <v>2008</v>
      </c>
      <c r="F10" s="207">
        <v>2007</v>
      </c>
      <c r="G10" s="1">
        <v>2006</v>
      </c>
      <c r="H10" s="1">
        <v>2005</v>
      </c>
      <c r="I10" s="1">
        <v>2004</v>
      </c>
      <c r="J10" s="1">
        <v>2003</v>
      </c>
      <c r="K10" s="1">
        <v>2002</v>
      </c>
      <c r="L10" s="1">
        <v>2001</v>
      </c>
      <c r="M10" s="208"/>
      <c r="N10" s="208"/>
    </row>
    <row r="11" spans="4:14" ht="12">
      <c r="D11" s="208"/>
      <c r="E11" s="208"/>
      <c r="M11" s="208"/>
      <c r="N11" s="208"/>
    </row>
    <row r="12" spans="2:14" ht="12">
      <c r="B12" t="s">
        <v>480</v>
      </c>
      <c r="D12" s="208"/>
      <c r="E12" s="185">
        <f>'HISTORICAL CAPITAL STRUCTURE'!D11/'HISTORICAL CAPITAL STRUCTURE'!D21</f>
        <v>0.5920401579205885</v>
      </c>
      <c r="F12" s="185">
        <f>'HISTORICAL CAPITAL STRUCTURE'!E11/'HISTORICAL CAPITAL STRUCTURE'!E21</f>
        <v>0.5854501283551848</v>
      </c>
      <c r="G12" s="13">
        <f>'HISTORICAL CAPITAL STRUCTURE'!F11/'HISTORICAL CAPITAL STRUCTURE'!F21</f>
        <v>0.5851172225855968</v>
      </c>
      <c r="H12" s="13">
        <f>'HISTORICAL CAPITAL STRUCTURE'!G11/'HISTORICAL CAPITAL STRUCTURE'!G21</f>
        <v>0.7024441950345003</v>
      </c>
      <c r="I12" s="13">
        <f>'HISTORICAL CAPITAL STRUCTURE'!H11/'HISTORICAL CAPITAL STRUCTURE'!H21</f>
        <v>0.7715994241763798</v>
      </c>
      <c r="J12" s="13">
        <f>2453000/3810279</f>
        <v>0.6437848776953079</v>
      </c>
      <c r="K12" s="13">
        <f>2491969/3175745</f>
        <v>0.7846880023427574</v>
      </c>
      <c r="L12" s="13">
        <f>2502631/3441246</f>
        <v>0.7272455965077765</v>
      </c>
      <c r="M12" s="208"/>
      <c r="N12" s="208"/>
    </row>
    <row r="13" spans="4:14" ht="12">
      <c r="D13" s="208"/>
      <c r="E13" s="208"/>
      <c r="G13" s="13"/>
      <c r="H13" s="13"/>
      <c r="I13" s="13"/>
      <c r="J13" s="3"/>
      <c r="K13" s="3"/>
      <c r="L13" s="13"/>
      <c r="M13" s="208"/>
      <c r="N13" s="208"/>
    </row>
    <row r="14" spans="2:14" ht="12">
      <c r="B14" t="s">
        <v>481</v>
      </c>
      <c r="D14" s="208"/>
      <c r="E14" s="185">
        <v>0</v>
      </c>
      <c r="F14" s="185">
        <v>0</v>
      </c>
      <c r="G14" s="13">
        <v>0</v>
      </c>
      <c r="H14" s="13">
        <v>0</v>
      </c>
      <c r="I14" s="13">
        <v>0</v>
      </c>
      <c r="J14" s="13">
        <f>0/3810279</f>
        <v>0</v>
      </c>
      <c r="K14" s="13">
        <f>0/3277759</f>
        <v>0</v>
      </c>
      <c r="L14" s="13">
        <f>0/3441246</f>
        <v>0</v>
      </c>
      <c r="M14" s="208"/>
      <c r="N14" s="208"/>
    </row>
    <row r="15" spans="4:14" ht="12">
      <c r="D15" s="208"/>
      <c r="E15" s="185"/>
      <c r="F15" s="185"/>
      <c r="G15" s="13"/>
      <c r="H15" s="13"/>
      <c r="I15" s="13"/>
      <c r="J15" s="3"/>
      <c r="K15" s="3"/>
      <c r="L15" s="13"/>
      <c r="M15" s="208"/>
      <c r="N15" s="208"/>
    </row>
    <row r="16" spans="2:14" ht="12">
      <c r="B16" t="s">
        <v>483</v>
      </c>
      <c r="D16" s="208"/>
      <c r="E16" s="185">
        <f>'HISTORICAL CAPITAL STRUCTURE'!D15/'HISTORICAL CAPITAL STRUCTURE'!D21</f>
        <v>0.13388716298941522</v>
      </c>
      <c r="F16" s="185">
        <f>'HISTORICAL CAPITAL STRUCTURE'!E15/'HISTORICAL CAPITAL STRUCTURE'!E21</f>
        <v>0.15099044958739463</v>
      </c>
      <c r="G16" s="13">
        <f>'HISTORICAL CAPITAL STRUCTURE'!F15/'HISTORICAL CAPITAL STRUCTURE'!F21</f>
        <v>0.15227559480296177</v>
      </c>
      <c r="H16" s="13">
        <f>'HISTORICAL CAPITAL STRUCTURE'!G15/'HISTORICAL CAPITAL STRUCTURE'!G21</f>
        <v>0.03473289240475798</v>
      </c>
      <c r="I16" s="13">
        <f>'HISTORICAL CAPITAL STRUCTURE'!H15/'HISTORICAL CAPITAL STRUCTURE'!H21</f>
        <v>0.07969183130751091</v>
      </c>
      <c r="J16" s="13">
        <f>486323/3810279</f>
        <v>0.12763448555866908</v>
      </c>
      <c r="K16" s="13">
        <f>23068/3175745</f>
        <v>0.007263807390076974</v>
      </c>
      <c r="L16" s="13">
        <f>37656/3441246</f>
        <v>0.010942548135181269</v>
      </c>
      <c r="M16" s="208"/>
      <c r="N16" s="208"/>
    </row>
    <row r="17" spans="4:14" ht="12">
      <c r="D17" s="208"/>
      <c r="E17" s="185"/>
      <c r="F17" s="185"/>
      <c r="G17" s="13"/>
      <c r="H17" s="13"/>
      <c r="I17" s="13"/>
      <c r="J17" s="3"/>
      <c r="K17" s="3"/>
      <c r="L17" s="13"/>
      <c r="M17" s="208"/>
      <c r="N17" s="208"/>
    </row>
    <row r="18" spans="2:14" ht="12">
      <c r="B18" t="s">
        <v>252</v>
      </c>
      <c r="D18" s="208"/>
      <c r="E18" s="185">
        <f>'HISTORICAL CAPITAL STRUCTURE'!D17/'HISTORICAL CAPITAL STRUCTURE'!D21</f>
        <v>0.09549872201627851</v>
      </c>
      <c r="F18" s="185">
        <f>'HISTORICAL CAPITAL STRUCTURE'!E17/'HISTORICAL CAPITAL STRUCTURE'!E21</f>
        <v>0.07909498939389469</v>
      </c>
      <c r="G18" s="13">
        <f>'HISTORICAL CAPITAL STRUCTURE'!F17/'HISTORICAL CAPITAL STRUCTURE'!F21</f>
        <v>0.08366645129534572</v>
      </c>
      <c r="H18" s="13">
        <f>'HISTORICAL CAPITAL STRUCTURE'!G17/'HISTORICAL CAPITAL STRUCTURE'!G21</f>
        <v>0.07162536759587665</v>
      </c>
      <c r="I18" s="13">
        <f>'HISTORICAL CAPITAL STRUCTURE'!H17/'HISTORICAL CAPITAL STRUCTURE'!H21</f>
        <v>0</v>
      </c>
      <c r="J18" s="13">
        <f>160000/3810279</f>
        <v>0.04199167567519334</v>
      </c>
      <c r="K18" s="13">
        <f>0/3175745</f>
        <v>0</v>
      </c>
      <c r="L18" s="13">
        <f>252107/3441246</f>
        <v>0.07326038301243212</v>
      </c>
      <c r="M18" s="208"/>
      <c r="N18" s="208"/>
    </row>
    <row r="19" spans="4:14" ht="12">
      <c r="D19" s="208"/>
      <c r="E19" s="185"/>
      <c r="F19" s="185"/>
      <c r="G19" s="13"/>
      <c r="H19" s="13"/>
      <c r="I19" s="13"/>
      <c r="J19" s="3"/>
      <c r="K19" s="3"/>
      <c r="L19" s="13"/>
      <c r="M19" s="208"/>
      <c r="N19" s="208"/>
    </row>
    <row r="20" spans="2:14" ht="12">
      <c r="B20" t="s">
        <v>253</v>
      </c>
      <c r="D20" s="208"/>
      <c r="E20" s="185">
        <f>'HISTORICAL CAPITAL STRUCTURE'!D19/'HISTORICAL CAPITAL STRUCTURE'!D21</f>
        <v>0.1785739570737178</v>
      </c>
      <c r="F20" s="185">
        <f>'HISTORICAL CAPITAL STRUCTURE'!E19/'HISTORICAL CAPITAL STRUCTURE'!E21</f>
        <v>0.18446443266352583</v>
      </c>
      <c r="G20" s="13">
        <f>'HISTORICAL CAPITAL STRUCTURE'!F19/'HISTORICAL CAPITAL STRUCTURE'!F21</f>
        <v>0.17894073131609567</v>
      </c>
      <c r="H20" s="13">
        <f>'HISTORICAL CAPITAL STRUCTURE'!G19/'HISTORICAL CAPITAL STRUCTURE'!G21</f>
        <v>0.19119754496486505</v>
      </c>
      <c r="I20" s="13">
        <f>'HISTORICAL CAPITAL STRUCTURE'!H19/'HISTORICAL CAPITAL STRUCTURE'!H21</f>
        <v>0.1487087445161093</v>
      </c>
      <c r="J20" s="13">
        <f>710956/3810279</f>
        <v>0.18658896107082973</v>
      </c>
      <c r="K20" s="13">
        <f>660708/3175745</f>
        <v>0.20804819026716564</v>
      </c>
      <c r="L20" s="13">
        <f>648852/3441246</f>
        <v>0.18855147234461006</v>
      </c>
      <c r="M20" s="208"/>
      <c r="N20" s="208"/>
    </row>
    <row r="21" spans="4:14" ht="12">
      <c r="D21" s="208"/>
      <c r="E21" s="208"/>
      <c r="G21" s="13"/>
      <c r="H21" s="13"/>
      <c r="I21" s="13"/>
      <c r="J21" s="3"/>
      <c r="K21" s="3"/>
      <c r="L21" s="13"/>
      <c r="M21" s="208"/>
      <c r="N21" s="208"/>
    </row>
    <row r="22" spans="3:14" ht="12">
      <c r="C22" t="s">
        <v>31</v>
      </c>
      <c r="D22" s="208"/>
      <c r="E22" s="94">
        <f aca="true" t="shared" si="0" ref="E22:L22">SUM(E12:E20)</f>
        <v>1</v>
      </c>
      <c r="F22" s="94">
        <f t="shared" si="0"/>
        <v>1</v>
      </c>
      <c r="G22" s="94">
        <f t="shared" si="0"/>
        <v>1</v>
      </c>
      <c r="H22" s="94">
        <f t="shared" si="0"/>
        <v>1</v>
      </c>
      <c r="I22" s="94">
        <f t="shared" si="0"/>
        <v>1</v>
      </c>
      <c r="J22" s="94">
        <f t="shared" si="0"/>
        <v>1</v>
      </c>
      <c r="K22" s="94">
        <f t="shared" si="0"/>
        <v>1</v>
      </c>
      <c r="L22" s="94">
        <f t="shared" si="0"/>
        <v>1</v>
      </c>
      <c r="M22" s="208"/>
      <c r="N22" s="208"/>
    </row>
    <row r="23" spans="13:14" ht="12">
      <c r="M23" s="208"/>
      <c r="N23" s="208"/>
    </row>
    <row r="24" spans="13:14" ht="12">
      <c r="M24" s="208"/>
      <c r="N24" s="208"/>
    </row>
    <row r="25" spans="13:14" ht="12">
      <c r="M25" s="208"/>
      <c r="N25" s="208"/>
    </row>
  </sheetData>
  <printOptions/>
  <pageMargins left="1.01" right="0.39" top="1" bottom="1" header="0.5" footer="0.5"/>
  <pageSetup fitToHeight="1" fitToWidth="1"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B5:I25"/>
  <sheetViews>
    <sheetView workbookViewId="0" topLeftCell="B1">
      <selection activeCell="I26" sqref="I26"/>
    </sheetView>
  </sheetViews>
  <sheetFormatPr defaultColWidth="11.57421875" defaultRowHeight="12.75"/>
  <cols>
    <col min="1" max="1" width="3.7109375" style="0" customWidth="1"/>
    <col min="2" max="2" width="8.28125" style="0" customWidth="1"/>
    <col min="4" max="4" width="7.00390625" style="0" bestFit="1" customWidth="1"/>
    <col min="5" max="5" width="6.00390625" style="0" bestFit="1" customWidth="1"/>
    <col min="6" max="6" width="12.140625" style="0" bestFit="1" customWidth="1"/>
    <col min="8" max="8" width="10.28125" style="0" bestFit="1" customWidth="1"/>
  </cols>
  <sheetData>
    <row r="5" spans="2:9" ht="12.75">
      <c r="B5" s="65" t="s">
        <v>368</v>
      </c>
      <c r="C5" s="65"/>
      <c r="I5" t="s">
        <v>248</v>
      </c>
    </row>
    <row r="6" spans="2:9" ht="12.75">
      <c r="B6" t="s">
        <v>10</v>
      </c>
      <c r="C6" s="65"/>
      <c r="F6" s="1"/>
      <c r="G6" s="1"/>
      <c r="H6" s="1"/>
      <c r="I6" t="s">
        <v>174</v>
      </c>
    </row>
    <row r="12" ht="12">
      <c r="F12" s="1" t="s">
        <v>242</v>
      </c>
    </row>
    <row r="13" ht="12">
      <c r="F13" s="1" t="s">
        <v>210</v>
      </c>
    </row>
    <row r="16" spans="4:8" ht="12">
      <c r="D16" s="1" t="s">
        <v>338</v>
      </c>
      <c r="E16" s="1" t="s">
        <v>339</v>
      </c>
      <c r="F16" s="1" t="s">
        <v>160</v>
      </c>
      <c r="G16" s="1" t="s">
        <v>162</v>
      </c>
      <c r="H16" s="1" t="s">
        <v>163</v>
      </c>
    </row>
    <row r="17" spans="4:8" ht="12">
      <c r="D17" s="1" t="s">
        <v>84</v>
      </c>
      <c r="E17" s="1"/>
      <c r="F17" s="1" t="s">
        <v>161</v>
      </c>
      <c r="G17" s="1" t="s">
        <v>160</v>
      </c>
      <c r="H17" s="1" t="s">
        <v>241</v>
      </c>
    </row>
    <row r="19" spans="2:9" ht="12">
      <c r="B19" t="s">
        <v>211</v>
      </c>
      <c r="C19" s="6">
        <v>39029</v>
      </c>
      <c r="D19" s="13">
        <v>0.0525</v>
      </c>
      <c r="E19" s="1" t="s">
        <v>220</v>
      </c>
      <c r="F19" s="7">
        <v>995580</v>
      </c>
      <c r="G19" s="20">
        <v>826231</v>
      </c>
      <c r="H19" s="20">
        <v>43963</v>
      </c>
      <c r="I19" s="186"/>
    </row>
    <row r="20" spans="3:9" ht="12">
      <c r="C20" s="6">
        <v>39147</v>
      </c>
      <c r="D20" s="13">
        <v>0.0975</v>
      </c>
      <c r="E20" t="s">
        <v>169</v>
      </c>
      <c r="F20" s="7">
        <v>13537</v>
      </c>
      <c r="G20" s="7">
        <v>4957</v>
      </c>
      <c r="H20">
        <v>648</v>
      </c>
      <c r="I20" s="48"/>
    </row>
    <row r="21" spans="3:9" ht="12">
      <c r="C21" s="6">
        <v>39547</v>
      </c>
      <c r="D21" s="13">
        <v>0.029</v>
      </c>
      <c r="E21" s="1" t="s">
        <v>66</v>
      </c>
      <c r="F21" s="7">
        <v>23063</v>
      </c>
      <c r="G21" s="7">
        <v>19813</v>
      </c>
      <c r="H21">
        <v>415</v>
      </c>
      <c r="I21" s="48"/>
    </row>
    <row r="22" spans="6:8" ht="12">
      <c r="F22" s="135" t="s">
        <v>212</v>
      </c>
      <c r="G22" s="136">
        <f>SUM(G19:G21)</f>
        <v>851001</v>
      </c>
      <c r="H22" s="137">
        <f>SUM(H19:H21)</f>
        <v>45026</v>
      </c>
    </row>
    <row r="25" spans="7:8" ht="12">
      <c r="G25" s="63" t="s">
        <v>72</v>
      </c>
      <c r="H25" s="185">
        <f>H22/G22</f>
        <v>0.0529094560405922</v>
      </c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B5:H42"/>
  <sheetViews>
    <sheetView workbookViewId="0" topLeftCell="A1">
      <selection activeCell="B31" sqref="B31"/>
    </sheetView>
  </sheetViews>
  <sheetFormatPr defaultColWidth="11.57421875" defaultRowHeight="12.75"/>
  <cols>
    <col min="1" max="1" width="4.8515625" style="0" customWidth="1"/>
    <col min="2" max="2" width="12.28125" style="0" customWidth="1"/>
    <col min="3" max="3" width="9.140625" style="0" customWidth="1"/>
    <col min="5" max="5" width="11.140625" style="0" customWidth="1"/>
    <col min="9" max="9" width="4.28125" style="0" customWidth="1"/>
  </cols>
  <sheetData>
    <row r="5" spans="2:8" ht="12.75">
      <c r="B5" s="65" t="s">
        <v>368</v>
      </c>
      <c r="C5" s="92"/>
      <c r="D5" s="92"/>
      <c r="H5" t="s">
        <v>248</v>
      </c>
    </row>
    <row r="6" spans="2:8" ht="12">
      <c r="B6" t="s">
        <v>10</v>
      </c>
      <c r="C6" s="14"/>
      <c r="E6" s="1"/>
      <c r="F6" s="1"/>
      <c r="H6" t="s">
        <v>175</v>
      </c>
    </row>
    <row r="9" ht="12">
      <c r="E9" s="1" t="s">
        <v>254</v>
      </c>
    </row>
    <row r="10" ht="12">
      <c r="E10" s="1" t="s">
        <v>92</v>
      </c>
    </row>
    <row r="14" spans="3:7" ht="12">
      <c r="C14" s="1" t="s">
        <v>338</v>
      </c>
      <c r="D14" s="1" t="s">
        <v>339</v>
      </c>
      <c r="E14" s="1" t="s">
        <v>160</v>
      </c>
      <c r="F14" s="1" t="s">
        <v>162</v>
      </c>
      <c r="G14" s="1" t="s">
        <v>163</v>
      </c>
    </row>
    <row r="15" spans="3:7" ht="12">
      <c r="C15" s="1" t="s">
        <v>84</v>
      </c>
      <c r="D15" s="1"/>
      <c r="E15" s="1" t="s">
        <v>161</v>
      </c>
      <c r="F15" s="1" t="s">
        <v>160</v>
      </c>
      <c r="G15" s="1" t="s">
        <v>241</v>
      </c>
    </row>
    <row r="17" spans="2:7" ht="12">
      <c r="B17" t="s">
        <v>337</v>
      </c>
      <c r="C17" s="66">
        <v>0.0525</v>
      </c>
      <c r="D17" t="s">
        <v>163</v>
      </c>
      <c r="E17" s="20">
        <v>1200000</v>
      </c>
      <c r="F17" s="20">
        <v>607000</v>
      </c>
      <c r="G17" s="3">
        <v>20189</v>
      </c>
    </row>
    <row r="30" spans="2:8" ht="12.75">
      <c r="B30" s="65" t="s">
        <v>368</v>
      </c>
      <c r="H30" t="s">
        <v>248</v>
      </c>
    </row>
    <row r="31" spans="2:8" ht="12">
      <c r="B31" t="s">
        <v>10</v>
      </c>
      <c r="E31" s="1"/>
      <c r="F31" s="1"/>
      <c r="G31" s="1"/>
      <c r="H31" t="s">
        <v>115</v>
      </c>
    </row>
    <row r="35" ht="12">
      <c r="E35" s="1" t="s">
        <v>114</v>
      </c>
    </row>
    <row r="36" ht="12">
      <c r="E36" s="1" t="s">
        <v>92</v>
      </c>
    </row>
    <row r="42" ht="12">
      <c r="C42" t="s">
        <v>492</v>
      </c>
    </row>
  </sheetData>
  <printOptions/>
  <pageMargins left="1.16" right="0.25" top="1" bottom="1" header="0.5" footer="0.5"/>
  <pageSetup orientation="portrait" paperSize="9"/>
  <rowBreaks count="1" manualBreakCount="1">
    <brk id="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I25"/>
  <sheetViews>
    <sheetView workbookViewId="0" topLeftCell="A1">
      <selection activeCell="A4" sqref="A4"/>
    </sheetView>
  </sheetViews>
  <sheetFormatPr defaultColWidth="10.8515625" defaultRowHeight="12.75"/>
  <cols>
    <col min="2" max="2" width="6.00390625" style="0" customWidth="1"/>
    <col min="3" max="3" width="6.140625" style="0" customWidth="1"/>
    <col min="4" max="4" width="4.7109375" style="0" customWidth="1"/>
    <col min="5" max="5" width="11.8515625" style="0" customWidth="1"/>
    <col min="6" max="6" width="3.7109375" style="0" customWidth="1"/>
    <col min="7" max="7" width="5.421875" style="0" customWidth="1"/>
  </cols>
  <sheetData>
    <row r="2" spans="1:9" ht="12">
      <c r="A2" s="213" t="s">
        <v>99</v>
      </c>
      <c r="B2" s="213"/>
      <c r="C2" s="205"/>
      <c r="D2" s="205"/>
      <c r="E2" s="205"/>
      <c r="I2" t="s">
        <v>511</v>
      </c>
    </row>
    <row r="3" ht="12">
      <c r="A3" s="208" t="s">
        <v>548</v>
      </c>
    </row>
    <row r="4" spans="4:8" ht="12">
      <c r="D4" s="1"/>
      <c r="E4" s="1"/>
      <c r="F4" s="1"/>
      <c r="G4" s="1"/>
      <c r="H4" s="1"/>
    </row>
    <row r="6" spans="4:8" ht="12">
      <c r="D6" s="155"/>
      <c r="E6" s="155" t="s">
        <v>440</v>
      </c>
      <c r="F6" s="155"/>
      <c r="G6" s="155"/>
      <c r="H6" s="155"/>
    </row>
    <row r="7" spans="4:8" ht="12">
      <c r="D7" s="155"/>
      <c r="E7" s="156" t="s">
        <v>512</v>
      </c>
      <c r="F7" s="155"/>
      <c r="G7" s="155"/>
      <c r="H7" s="155"/>
    </row>
    <row r="9" spans="5:8" ht="12">
      <c r="E9" s="1" t="s">
        <v>184</v>
      </c>
      <c r="F9" s="50"/>
      <c r="G9" s="50"/>
      <c r="H9" s="1" t="s">
        <v>197</v>
      </c>
    </row>
    <row r="10" spans="1:8" ht="12">
      <c r="A10" t="s">
        <v>352</v>
      </c>
      <c r="E10" s="1" t="s">
        <v>160</v>
      </c>
      <c r="F10" s="1"/>
      <c r="G10" s="1"/>
      <c r="H10" s="1" t="s">
        <v>198</v>
      </c>
    </row>
    <row r="12" ht="12">
      <c r="A12" t="s">
        <v>480</v>
      </c>
    </row>
    <row r="13" spans="2:5" ht="12">
      <c r="B13" t="s">
        <v>329</v>
      </c>
      <c r="E13" s="161">
        <f>'Bal sht finance'!F60</f>
        <v>91200</v>
      </c>
    </row>
    <row r="14" spans="2:5" ht="12">
      <c r="B14" t="s">
        <v>330</v>
      </c>
      <c r="E14" s="161">
        <f>'Bal sht finance'!F61</f>
        <v>220653</v>
      </c>
    </row>
    <row r="15" spans="2:5" ht="12">
      <c r="B15" t="s">
        <v>331</v>
      </c>
      <c r="E15" s="162">
        <f>'Bal sht finance'!F63</f>
        <v>3190477</v>
      </c>
    </row>
    <row r="16" spans="3:8" ht="12">
      <c r="C16" s="63" t="s">
        <v>31</v>
      </c>
      <c r="E16" s="161">
        <f>SUM(E13:E15)</f>
        <v>3502330</v>
      </c>
      <c r="H16" s="163">
        <f>E16/E25</f>
        <v>0.5270334244946027</v>
      </c>
    </row>
    <row r="17" ht="12">
      <c r="E17" s="161"/>
    </row>
    <row r="18" ht="12">
      <c r="E18" s="161"/>
    </row>
    <row r="19" spans="1:8" ht="12">
      <c r="A19" t="s">
        <v>483</v>
      </c>
      <c r="E19" s="161">
        <f>'Bal sht finance'!F80</f>
        <v>851001</v>
      </c>
      <c r="H19" s="163">
        <f>E19/E25</f>
        <v>0.12805931230875772</v>
      </c>
    </row>
    <row r="20" ht="12">
      <c r="E20" s="161"/>
    </row>
    <row r="21" spans="1:8" ht="12">
      <c r="A21" t="s">
        <v>252</v>
      </c>
      <c r="E21" s="161">
        <f>'Bal sht finance'!J67</f>
        <v>1157000</v>
      </c>
      <c r="H21" s="163">
        <f>E21/E25</f>
        <v>0.17410628699758599</v>
      </c>
    </row>
    <row r="22" ht="12">
      <c r="E22" s="161"/>
    </row>
    <row r="23" spans="1:8" ht="12">
      <c r="A23" t="s">
        <v>253</v>
      </c>
      <c r="E23" s="161">
        <f>'Bal sht finance'!F83</f>
        <v>1135035</v>
      </c>
      <c r="H23" s="164">
        <f>E23/E25</f>
        <v>0.1708009761990536</v>
      </c>
    </row>
    <row r="24" ht="12">
      <c r="E24" s="162"/>
    </row>
    <row r="25" spans="3:8" ht="12.75" thickBot="1">
      <c r="C25" t="s">
        <v>574</v>
      </c>
      <c r="E25" s="166">
        <f>E16+E19+E21+E23</f>
        <v>6645366</v>
      </c>
      <c r="H25" s="165">
        <f>E25/E25</f>
        <v>1</v>
      </c>
    </row>
    <row r="26" ht="12.75" thickTop="1"/>
  </sheetData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36"/>
  <sheetViews>
    <sheetView workbookViewId="0" topLeftCell="A1">
      <selection activeCell="C4" sqref="C4"/>
    </sheetView>
  </sheetViews>
  <sheetFormatPr defaultColWidth="8.8515625" defaultRowHeight="12.75"/>
  <cols>
    <col min="2" max="2" width="1.7109375" style="0" customWidth="1"/>
    <col min="3" max="3" width="8.28125" style="0" customWidth="1"/>
    <col min="4" max="4" width="7.8515625" style="0" customWidth="1"/>
    <col min="5" max="5" width="11.00390625" style="0" bestFit="1" customWidth="1"/>
    <col min="6" max="6" width="10.00390625" style="0" bestFit="1" customWidth="1"/>
    <col min="7" max="7" width="11.00390625" style="0" customWidth="1"/>
    <col min="8" max="8" width="10.7109375" style="0" customWidth="1"/>
    <col min="9" max="9" width="8.7109375" style="0" hidden="1" customWidth="1"/>
    <col min="11" max="11" width="10.8515625" style="0" customWidth="1"/>
    <col min="12" max="12" width="8.7109375" style="0" bestFit="1" customWidth="1"/>
    <col min="13" max="14" width="10.8515625" style="0" customWidth="1"/>
    <col min="15" max="15" width="10.140625" style="0" customWidth="1"/>
    <col min="16" max="16" width="10.421875" style="0" customWidth="1"/>
  </cols>
  <sheetData>
    <row r="3" spans="3:14" ht="12.75">
      <c r="C3" s="65" t="s">
        <v>368</v>
      </c>
      <c r="H3" s="52"/>
      <c r="I3" s="49"/>
      <c r="J3" s="49"/>
      <c r="K3" s="49"/>
      <c r="L3" s="49"/>
      <c r="N3" t="s">
        <v>51</v>
      </c>
    </row>
    <row r="4" spans="3:12" ht="12">
      <c r="C4" t="s">
        <v>10</v>
      </c>
      <c r="H4" s="53"/>
      <c r="I4" s="50"/>
      <c r="J4" s="50"/>
      <c r="K4" s="50"/>
      <c r="L4" s="50"/>
    </row>
    <row r="5" spans="8:12" ht="12">
      <c r="H5" s="52"/>
      <c r="I5" s="49"/>
      <c r="J5" s="49" t="s">
        <v>498</v>
      </c>
      <c r="K5" s="49"/>
      <c r="L5" s="49"/>
    </row>
    <row r="6" spans="8:12" ht="12">
      <c r="H6" s="52"/>
      <c r="I6" s="49"/>
      <c r="J6" s="49" t="s">
        <v>7</v>
      </c>
      <c r="K6" s="49"/>
      <c r="L6" s="49"/>
    </row>
    <row r="7" ht="15">
      <c r="B7" s="87"/>
    </row>
    <row r="8" spans="1:16" s="1" customFormat="1" ht="12">
      <c r="A8" s="171"/>
      <c r="B8" s="171"/>
      <c r="C8" s="1" t="s">
        <v>44</v>
      </c>
      <c r="D8" s="171"/>
      <c r="E8" s="51" t="s">
        <v>499</v>
      </c>
      <c r="F8" s="1" t="s">
        <v>499</v>
      </c>
      <c r="G8" s="51" t="s">
        <v>328</v>
      </c>
      <c r="H8" s="51" t="s">
        <v>328</v>
      </c>
      <c r="I8"/>
      <c r="J8" s="171"/>
      <c r="K8" s="49" t="s">
        <v>31</v>
      </c>
      <c r="L8" s="49" t="s">
        <v>31</v>
      </c>
      <c r="M8" s="49" t="s">
        <v>31</v>
      </c>
      <c r="N8" s="171"/>
      <c r="O8" s="171"/>
      <c r="P8" s="171"/>
    </row>
    <row r="9" spans="1:16" s="1" customFormat="1" ht="12">
      <c r="A9" s="171"/>
      <c r="B9" s="171"/>
      <c r="C9" s="171"/>
      <c r="D9" s="1" t="s">
        <v>44</v>
      </c>
      <c r="E9" s="51" t="s">
        <v>307</v>
      </c>
      <c r="F9" s="1" t="s">
        <v>307</v>
      </c>
      <c r="G9" s="51" t="s">
        <v>151</v>
      </c>
      <c r="H9" s="51" t="s">
        <v>151</v>
      </c>
      <c r="I9"/>
      <c r="J9" s="1" t="s">
        <v>22</v>
      </c>
      <c r="K9" s="1" t="s">
        <v>426</v>
      </c>
      <c r="L9" s="1" t="s">
        <v>424</v>
      </c>
      <c r="M9" s="1" t="s">
        <v>427</v>
      </c>
      <c r="N9" s="1" t="s">
        <v>31</v>
      </c>
      <c r="O9" s="171"/>
      <c r="P9" s="171"/>
    </row>
    <row r="10" spans="1:16" s="1" customFormat="1" ht="12">
      <c r="A10" s="171"/>
      <c r="B10" s="171"/>
      <c r="C10" s="1" t="s">
        <v>427</v>
      </c>
      <c r="D10" s="1" t="s">
        <v>426</v>
      </c>
      <c r="E10" s="51" t="s">
        <v>427</v>
      </c>
      <c r="F10" s="1" t="s">
        <v>426</v>
      </c>
      <c r="G10" s="51" t="s">
        <v>427</v>
      </c>
      <c r="H10" s="51" t="s">
        <v>426</v>
      </c>
      <c r="I10"/>
      <c r="J10" s="1" t="s">
        <v>82</v>
      </c>
      <c r="K10" s="1" t="s">
        <v>83</v>
      </c>
      <c r="L10" s="1" t="s">
        <v>83</v>
      </c>
      <c r="M10" s="1" t="s">
        <v>84</v>
      </c>
      <c r="N10" s="1" t="s">
        <v>22</v>
      </c>
      <c r="O10" s="171"/>
      <c r="P10" s="171"/>
    </row>
    <row r="11" spans="15:16" ht="12">
      <c r="O11" s="1"/>
      <c r="P11" s="1"/>
    </row>
    <row r="12" spans="1:16" ht="12">
      <c r="A12" t="s">
        <v>265</v>
      </c>
      <c r="C12" s="20">
        <v>226.05</v>
      </c>
      <c r="D12" s="20">
        <v>212.82</v>
      </c>
      <c r="E12" s="20">
        <v>155990.75</v>
      </c>
      <c r="F12" s="54">
        <v>149776.62</v>
      </c>
      <c r="G12" s="20">
        <v>252395.48</v>
      </c>
      <c r="H12" s="54">
        <v>255469.04</v>
      </c>
      <c r="J12" s="3">
        <v>17452.4</v>
      </c>
      <c r="K12" s="168">
        <f>F12+H12+D12</f>
        <v>405458.48000000004</v>
      </c>
      <c r="L12" s="54">
        <v>3810</v>
      </c>
      <c r="M12" s="3">
        <f>E12+G12+C12-J12</f>
        <v>391159.87999999995</v>
      </c>
      <c r="N12" s="3">
        <f aca="true" t="shared" si="0" ref="N12:N23">SUM(K12:M12)</f>
        <v>800428.36</v>
      </c>
      <c r="O12" s="1"/>
      <c r="P12" s="1"/>
    </row>
    <row r="13" spans="1:16" ht="12">
      <c r="A13" t="s">
        <v>280</v>
      </c>
      <c r="C13" s="20">
        <v>201.69</v>
      </c>
      <c r="D13" s="20">
        <v>189.82</v>
      </c>
      <c r="E13" s="20">
        <v>153347.04</v>
      </c>
      <c r="F13" s="54">
        <v>147130.12</v>
      </c>
      <c r="G13" s="20">
        <v>233704.96</v>
      </c>
      <c r="H13" s="54">
        <v>233607.27</v>
      </c>
      <c r="J13" s="3">
        <v>18357.98</v>
      </c>
      <c r="K13" s="168">
        <f aca="true" t="shared" si="1" ref="K13:K23">F13+H13+D13</f>
        <v>380927.21</v>
      </c>
      <c r="L13" s="54">
        <v>3775</v>
      </c>
      <c r="M13" s="3">
        <f aca="true" t="shared" si="2" ref="M13:M23">E13+G13+C13-J13</f>
        <v>368895.71</v>
      </c>
      <c r="N13" s="3">
        <f t="shared" si="0"/>
        <v>753597.92</v>
      </c>
      <c r="O13" s="1"/>
      <c r="P13" s="1"/>
    </row>
    <row r="14" spans="1:16" ht="12">
      <c r="A14" t="s">
        <v>506</v>
      </c>
      <c r="C14" s="20">
        <v>175.72</v>
      </c>
      <c r="D14" s="20">
        <v>165</v>
      </c>
      <c r="E14" s="20">
        <v>119559.95</v>
      </c>
      <c r="F14" s="54">
        <v>115568.32</v>
      </c>
      <c r="G14" s="20">
        <v>196629.01</v>
      </c>
      <c r="H14" s="54">
        <v>190907.44</v>
      </c>
      <c r="J14" s="3">
        <v>18725.4</v>
      </c>
      <c r="K14" s="168">
        <f>F14+H14+D14</f>
        <v>306640.76</v>
      </c>
      <c r="L14" s="54">
        <v>3780</v>
      </c>
      <c r="M14" s="3">
        <f t="shared" si="2"/>
        <v>297639.27999999997</v>
      </c>
      <c r="N14" s="3">
        <f t="shared" si="0"/>
        <v>608060.04</v>
      </c>
      <c r="O14" s="1"/>
      <c r="P14" s="1"/>
    </row>
    <row r="15" spans="1:16" ht="12">
      <c r="A15" t="s">
        <v>409</v>
      </c>
      <c r="C15" s="20">
        <v>74.87</v>
      </c>
      <c r="D15" s="20">
        <v>70.46</v>
      </c>
      <c r="E15" s="20">
        <v>65065.38</v>
      </c>
      <c r="F15" s="54">
        <v>62798.18</v>
      </c>
      <c r="G15" s="20">
        <v>107204.04</v>
      </c>
      <c r="H15" s="54">
        <v>104570.93</v>
      </c>
      <c r="J15" s="3">
        <v>1321.48</v>
      </c>
      <c r="K15" s="168">
        <f t="shared" si="1"/>
        <v>167439.56999999998</v>
      </c>
      <c r="L15" s="54">
        <v>3730</v>
      </c>
      <c r="M15" s="3">
        <f t="shared" si="2"/>
        <v>171022.80999999997</v>
      </c>
      <c r="N15" s="3">
        <f t="shared" si="0"/>
        <v>342192.37999999995</v>
      </c>
      <c r="O15" s="1"/>
      <c r="P15" s="1"/>
    </row>
    <row r="16" spans="1:16" ht="12">
      <c r="A16" t="s">
        <v>255</v>
      </c>
      <c r="C16" s="20">
        <v>12.23</v>
      </c>
      <c r="D16" s="20">
        <v>11.5</v>
      </c>
      <c r="E16" s="20">
        <v>29404.23</v>
      </c>
      <c r="F16" s="54">
        <v>28995.54</v>
      </c>
      <c r="G16" s="20">
        <v>51675.39</v>
      </c>
      <c r="H16" s="54">
        <v>49613.3</v>
      </c>
      <c r="J16" s="3">
        <v>3246.12</v>
      </c>
      <c r="K16" s="168">
        <f t="shared" si="1"/>
        <v>78620.34</v>
      </c>
      <c r="L16" s="54">
        <v>3175</v>
      </c>
      <c r="M16" s="3">
        <f t="shared" si="2"/>
        <v>77845.73</v>
      </c>
      <c r="N16" s="3">
        <f t="shared" si="0"/>
        <v>159641.07</v>
      </c>
      <c r="O16" s="1"/>
      <c r="P16" s="1"/>
    </row>
    <row r="17" spans="1:16" ht="12">
      <c r="A17" t="s">
        <v>256</v>
      </c>
      <c r="C17" s="20">
        <v>0</v>
      </c>
      <c r="D17" s="20">
        <v>0</v>
      </c>
      <c r="E17" s="54">
        <v>10927.17</v>
      </c>
      <c r="F17" s="54">
        <v>10947.92</v>
      </c>
      <c r="G17" s="54">
        <v>7297.28</v>
      </c>
      <c r="H17" s="54">
        <v>6867.46</v>
      </c>
      <c r="J17" s="3">
        <v>2282.7</v>
      </c>
      <c r="K17" s="168">
        <f t="shared" si="1"/>
        <v>17815.38</v>
      </c>
      <c r="L17" s="54">
        <v>1105</v>
      </c>
      <c r="M17" s="3">
        <f t="shared" si="2"/>
        <v>15941.75</v>
      </c>
      <c r="N17" s="3">
        <f t="shared" si="0"/>
        <v>34862.130000000005</v>
      </c>
      <c r="O17" s="1"/>
      <c r="P17" s="1"/>
    </row>
    <row r="18" spans="1:16" ht="12">
      <c r="A18" t="s">
        <v>257</v>
      </c>
      <c r="C18" s="20">
        <v>0</v>
      </c>
      <c r="D18" s="20">
        <v>0</v>
      </c>
      <c r="E18" s="54">
        <v>7805.86</v>
      </c>
      <c r="F18" s="54">
        <v>7538.72</v>
      </c>
      <c r="G18" s="54">
        <v>2747.21</v>
      </c>
      <c r="H18" s="54">
        <v>2488.46</v>
      </c>
      <c r="J18" s="3">
        <v>0</v>
      </c>
      <c r="K18" s="168">
        <f t="shared" si="1"/>
        <v>10027.18</v>
      </c>
      <c r="L18" s="54">
        <v>550</v>
      </c>
      <c r="M18" s="3">
        <f t="shared" si="2"/>
        <v>10553.07</v>
      </c>
      <c r="N18" s="3">
        <f t="shared" si="0"/>
        <v>21130.25</v>
      </c>
      <c r="O18" s="1"/>
      <c r="P18" s="1"/>
    </row>
    <row r="19" spans="1:16" ht="12">
      <c r="A19" t="s">
        <v>258</v>
      </c>
      <c r="C19" s="20">
        <v>0</v>
      </c>
      <c r="D19" s="20">
        <v>0</v>
      </c>
      <c r="E19" s="54">
        <v>6963.75</v>
      </c>
      <c r="F19" s="54">
        <v>6309.94</v>
      </c>
      <c r="G19" s="54">
        <v>4619.6</v>
      </c>
      <c r="H19" s="54">
        <v>4185.87</v>
      </c>
      <c r="J19" s="3">
        <v>0</v>
      </c>
      <c r="K19" s="168">
        <f t="shared" si="1"/>
        <v>10495.81</v>
      </c>
      <c r="L19" s="54">
        <v>675</v>
      </c>
      <c r="M19" s="3">
        <f t="shared" si="2"/>
        <v>11583.35</v>
      </c>
      <c r="N19" s="3">
        <f>SUM(K19:M19)</f>
        <v>22754.16</v>
      </c>
      <c r="O19" s="1"/>
      <c r="P19" s="1"/>
    </row>
    <row r="20" spans="1:16" ht="12">
      <c r="A20" t="s">
        <v>240</v>
      </c>
      <c r="C20" s="20">
        <v>0</v>
      </c>
      <c r="D20" s="20">
        <v>0</v>
      </c>
      <c r="E20" s="54">
        <v>11781.8</v>
      </c>
      <c r="F20" s="54">
        <v>11501</v>
      </c>
      <c r="G20" s="54">
        <v>10078.4</v>
      </c>
      <c r="H20" s="54">
        <v>9132.16</v>
      </c>
      <c r="J20" s="3">
        <v>539.08</v>
      </c>
      <c r="K20" s="168">
        <f>F20+H20+D20</f>
        <v>20633.16</v>
      </c>
      <c r="L20" s="54">
        <v>845</v>
      </c>
      <c r="M20" s="3">
        <f t="shared" si="2"/>
        <v>21321.119999999995</v>
      </c>
      <c r="N20" s="3">
        <f t="shared" si="0"/>
        <v>42799.28</v>
      </c>
      <c r="O20" s="1"/>
      <c r="P20" s="1"/>
    </row>
    <row r="21" spans="1:16" ht="12">
      <c r="A21" t="s">
        <v>279</v>
      </c>
      <c r="C21" s="20">
        <v>0</v>
      </c>
      <c r="D21" s="20">
        <v>0</v>
      </c>
      <c r="E21" s="54">
        <v>47292.9</v>
      </c>
      <c r="F21" s="54">
        <v>44673.2</v>
      </c>
      <c r="G21" s="54">
        <v>78341.94</v>
      </c>
      <c r="H21" s="54">
        <v>72846.06</v>
      </c>
      <c r="J21" s="3">
        <v>3083.38</v>
      </c>
      <c r="K21" s="168">
        <f>F21+H21+D21</f>
        <v>117519.26</v>
      </c>
      <c r="L21" s="54">
        <v>3360</v>
      </c>
      <c r="M21" s="3">
        <f t="shared" si="2"/>
        <v>122551.45999999999</v>
      </c>
      <c r="N21" s="3">
        <f t="shared" si="0"/>
        <v>243430.71999999997</v>
      </c>
      <c r="O21" s="1"/>
      <c r="P21" s="1"/>
    </row>
    <row r="22" spans="1:16" ht="12">
      <c r="A22" t="s">
        <v>365</v>
      </c>
      <c r="C22" s="20">
        <v>95.22</v>
      </c>
      <c r="D22" s="20">
        <v>118.86</v>
      </c>
      <c r="E22" s="54">
        <v>81873.79</v>
      </c>
      <c r="F22" s="54">
        <v>105756.87</v>
      </c>
      <c r="G22" s="54">
        <v>127106.54</v>
      </c>
      <c r="H22" s="54">
        <v>165084.46</v>
      </c>
      <c r="J22" s="3">
        <v>5037.08</v>
      </c>
      <c r="K22" s="168">
        <f>F22+H22+D22</f>
        <v>270960.18999999994</v>
      </c>
      <c r="L22" s="54">
        <v>3530</v>
      </c>
      <c r="M22" s="3">
        <f t="shared" si="2"/>
        <v>204038.47</v>
      </c>
      <c r="N22" s="3">
        <f t="shared" si="0"/>
        <v>478528.6599999999</v>
      </c>
      <c r="O22" s="1"/>
      <c r="P22" s="1"/>
    </row>
    <row r="23" spans="1:16" ht="12">
      <c r="A23" t="s">
        <v>366</v>
      </c>
      <c r="C23" s="20">
        <v>179.33</v>
      </c>
      <c r="D23" s="20">
        <v>223.85</v>
      </c>
      <c r="E23" s="54">
        <v>148736.33</v>
      </c>
      <c r="F23" s="20">
        <v>191149.27</v>
      </c>
      <c r="G23" s="54">
        <v>225788.42</v>
      </c>
      <c r="H23" s="20">
        <v>303218</v>
      </c>
      <c r="J23" s="3">
        <v>13307.6</v>
      </c>
      <c r="K23" s="168">
        <f t="shared" si="1"/>
        <v>494591.12</v>
      </c>
      <c r="L23" s="54">
        <v>3565</v>
      </c>
      <c r="M23" s="3">
        <f t="shared" si="2"/>
        <v>361396.48000000004</v>
      </c>
      <c r="N23" s="3">
        <f t="shared" si="0"/>
        <v>859552.6000000001</v>
      </c>
      <c r="O23" s="1"/>
      <c r="P23" s="1"/>
    </row>
    <row r="24" spans="6:16" ht="12">
      <c r="F24" s="10"/>
      <c r="J24" s="10"/>
      <c r="K24" s="3"/>
      <c r="O24" s="1"/>
      <c r="P24" s="1"/>
    </row>
    <row r="25" spans="3:16" ht="12">
      <c r="C25" s="7">
        <f>SUM(C12:C24)</f>
        <v>965.1100000000001</v>
      </c>
      <c r="D25" s="161">
        <f aca="true" t="shared" si="3" ref="D25:N25">SUM(D12:D24)</f>
        <v>992.3100000000001</v>
      </c>
      <c r="E25" s="161">
        <f>SUM(E12:E24)</f>
        <v>838748.9500000001</v>
      </c>
      <c r="F25" s="161">
        <f t="shared" si="3"/>
        <v>882145.6999999998</v>
      </c>
      <c r="G25" s="161">
        <f>SUM(G12:G24)</f>
        <v>1297588.27</v>
      </c>
      <c r="H25" s="161">
        <f>SUM(H12:H24)</f>
        <v>1397990.45</v>
      </c>
      <c r="I25" s="161">
        <f t="shared" si="3"/>
        <v>0</v>
      </c>
      <c r="J25" s="161">
        <f t="shared" si="3"/>
        <v>83353.22000000002</v>
      </c>
      <c r="K25" s="161">
        <f t="shared" si="3"/>
        <v>2281128.46</v>
      </c>
      <c r="L25" s="161">
        <f t="shared" si="3"/>
        <v>31900</v>
      </c>
      <c r="M25" s="161">
        <f t="shared" si="3"/>
        <v>2053949.11</v>
      </c>
      <c r="N25" s="161">
        <f t="shared" si="3"/>
        <v>4366977.57</v>
      </c>
      <c r="O25" s="1"/>
      <c r="P25" s="1"/>
    </row>
    <row r="26" spans="3:15" ht="12">
      <c r="C26" s="7"/>
      <c r="D26" s="7"/>
      <c r="E26" s="7"/>
      <c r="F26" s="3"/>
      <c r="G26" s="3"/>
      <c r="H26" s="3"/>
      <c r="I26" s="3"/>
      <c r="J26" s="10"/>
      <c r="K26" s="3"/>
      <c r="L26" s="3"/>
      <c r="M26" s="3"/>
      <c r="N26" s="3"/>
      <c r="O26" s="3"/>
    </row>
    <row r="27" spans="3:15" ht="12">
      <c r="C27" s="7"/>
      <c r="D27" s="7"/>
      <c r="E27" s="7"/>
      <c r="F27" s="3"/>
      <c r="G27" s="3"/>
      <c r="H27" s="3"/>
      <c r="I27" s="3"/>
      <c r="J27" s="10"/>
      <c r="K27" s="3"/>
      <c r="L27" s="3"/>
      <c r="M27" s="3"/>
      <c r="N27" s="179"/>
      <c r="O27" s="167"/>
    </row>
    <row r="28" spans="2:15" ht="12.75" customHeight="1">
      <c r="B28" s="87"/>
      <c r="C28" s="7"/>
      <c r="D28" s="7"/>
      <c r="E28" s="7"/>
      <c r="F28" s="3"/>
      <c r="G28" s="3"/>
      <c r="H28" s="3"/>
      <c r="I28" s="3"/>
      <c r="J28" s="10"/>
      <c r="K28" s="3"/>
      <c r="L28" s="3"/>
      <c r="M28" s="3"/>
      <c r="N28" s="3"/>
      <c r="O28" s="3"/>
    </row>
    <row r="29" spans="3:11" ht="12">
      <c r="C29" s="9"/>
      <c r="E29" s="169"/>
      <c r="F29" s="169"/>
      <c r="G29" s="169"/>
      <c r="H29" s="169"/>
      <c r="I29" s="169"/>
      <c r="J29" s="169"/>
      <c r="K29" s="169"/>
    </row>
    <row r="30" spans="3:14" ht="12">
      <c r="C30" s="161"/>
      <c r="D30" s="161"/>
      <c r="E30" s="161"/>
      <c r="F30" s="179"/>
      <c r="G30" s="179"/>
      <c r="H30" s="179"/>
      <c r="I30" s="179"/>
      <c r="J30" s="10"/>
      <c r="K30" s="179"/>
      <c r="L30" s="179"/>
      <c r="M30" s="179"/>
      <c r="N30" s="179"/>
    </row>
    <row r="31" spans="5:11" ht="12">
      <c r="E31" s="169"/>
      <c r="F31" s="169"/>
      <c r="G31" s="169"/>
      <c r="H31" s="169"/>
      <c r="I31" s="169"/>
      <c r="J31" s="169"/>
      <c r="K31" s="169"/>
    </row>
    <row r="32" spans="3:14" ht="12">
      <c r="C32" s="161"/>
      <c r="D32" s="161"/>
      <c r="E32" s="161"/>
      <c r="F32" s="179"/>
      <c r="G32" s="179"/>
      <c r="H32" s="179"/>
      <c r="I32" s="179"/>
      <c r="J32" s="10"/>
      <c r="K32" s="179"/>
      <c r="L32" s="179"/>
      <c r="M32" s="179"/>
      <c r="N32" s="179"/>
    </row>
    <row r="33" spans="5:11" ht="12">
      <c r="E33" s="169"/>
      <c r="F33" s="169"/>
      <c r="G33" s="169"/>
      <c r="H33" s="169"/>
      <c r="I33" s="169"/>
      <c r="J33" s="169"/>
      <c r="K33" s="169"/>
    </row>
    <row r="34" spans="3:14" ht="12">
      <c r="C34" s="161"/>
      <c r="D34" s="161"/>
      <c r="E34" s="161"/>
      <c r="F34" s="179"/>
      <c r="G34" s="179"/>
      <c r="H34" s="179"/>
      <c r="I34" s="179"/>
      <c r="J34" s="10"/>
      <c r="K34" s="179"/>
      <c r="L34" s="179"/>
      <c r="M34" s="179"/>
      <c r="N34" s="179"/>
    </row>
    <row r="35" spans="5:11" ht="12">
      <c r="E35" s="169"/>
      <c r="F35" s="169"/>
      <c r="G35" s="169"/>
      <c r="H35" s="169"/>
      <c r="I35" s="169"/>
      <c r="J35" s="169"/>
      <c r="K35" s="169"/>
    </row>
    <row r="36" spans="3:14" ht="12">
      <c r="C36" s="161"/>
      <c r="D36" s="161"/>
      <c r="E36" s="161"/>
      <c r="F36" s="179"/>
      <c r="G36" s="179"/>
      <c r="H36" s="179"/>
      <c r="I36" s="179"/>
      <c r="J36" s="10"/>
      <c r="K36" s="179"/>
      <c r="L36" s="179"/>
      <c r="M36" s="179"/>
      <c r="N36" s="179"/>
    </row>
  </sheetData>
  <printOptions/>
  <pageMargins left="0.25" right="0.55" top="1.32" bottom="1" header="0.5" footer="0.5"/>
  <pageSetup fitToHeight="1" fitToWidth="1" horizontalDpi="300" verticalDpi="300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0"/>
  <sheetViews>
    <sheetView workbookViewId="0" topLeftCell="A1">
      <selection activeCell="B4" sqref="B4"/>
    </sheetView>
  </sheetViews>
  <sheetFormatPr defaultColWidth="8.8515625" defaultRowHeight="12.75"/>
  <cols>
    <col min="3" max="3" width="2.28125" style="0" customWidth="1"/>
    <col min="4" max="4" width="0.85546875" style="0" customWidth="1"/>
    <col min="8" max="8" width="12.421875" style="0" bestFit="1" customWidth="1"/>
  </cols>
  <sheetData>
    <row r="3" spans="2:9" ht="12.75">
      <c r="B3" s="65" t="s">
        <v>368</v>
      </c>
      <c r="I3" t="s">
        <v>560</v>
      </c>
    </row>
    <row r="4" ht="12">
      <c r="B4" t="s">
        <v>10</v>
      </c>
    </row>
    <row r="7" spans="3:10" ht="12">
      <c r="C7" s="1"/>
      <c r="D7" s="1"/>
      <c r="E7" s="1"/>
      <c r="F7" s="1"/>
      <c r="G7" s="1"/>
      <c r="H7" s="1"/>
      <c r="I7" s="1"/>
      <c r="J7" s="1"/>
    </row>
    <row r="8" spans="2:10" ht="12">
      <c r="B8" s="50"/>
      <c r="C8" s="50"/>
      <c r="D8" s="50"/>
      <c r="E8" s="50"/>
      <c r="F8" s="50"/>
      <c r="G8" s="50"/>
      <c r="H8" s="50"/>
      <c r="I8" s="50"/>
      <c r="J8" s="50"/>
    </row>
    <row r="9" spans="3:10" ht="12">
      <c r="C9" s="1"/>
      <c r="D9" s="1"/>
      <c r="E9" s="1"/>
      <c r="F9" s="1" t="s">
        <v>196</v>
      </c>
      <c r="G9" s="1"/>
      <c r="H9" s="1"/>
      <c r="I9" s="1"/>
      <c r="J9" s="1"/>
    </row>
    <row r="10" spans="3:10" ht="12">
      <c r="C10" s="1"/>
      <c r="D10" s="1"/>
      <c r="E10" s="1"/>
      <c r="F10" s="1" t="s">
        <v>553</v>
      </c>
      <c r="G10" s="1"/>
      <c r="H10" s="1"/>
      <c r="I10" s="1"/>
      <c r="J10" s="1"/>
    </row>
    <row r="14" ht="12">
      <c r="A14" t="s">
        <v>326</v>
      </c>
    </row>
    <row r="16" spans="2:8" ht="12">
      <c r="B16" t="s">
        <v>312</v>
      </c>
      <c r="H16" s="7">
        <v>171975</v>
      </c>
    </row>
    <row r="17" ht="12">
      <c r="H17" s="3"/>
    </row>
    <row r="18" spans="2:8" ht="12">
      <c r="B18" t="s">
        <v>116</v>
      </c>
      <c r="H18" s="4">
        <v>0</v>
      </c>
    </row>
    <row r="19" ht="12">
      <c r="H19" s="3"/>
    </row>
    <row r="20" spans="2:8" ht="12.75" thickBot="1">
      <c r="B20" t="s">
        <v>117</v>
      </c>
      <c r="H20" s="8">
        <f>SUM(H16:H18:H18)</f>
        <v>171975</v>
      </c>
    </row>
    <row r="21" ht="12.75" thickTop="1"/>
  </sheetData>
  <printOptions/>
  <pageMargins left="1.19" right="0.75" top="1" bottom="1" header="0.5" footer="0.5"/>
  <pageSetup fitToHeight="1" fitToWidth="1"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B2:K25"/>
  <sheetViews>
    <sheetView workbookViewId="0" topLeftCell="A1">
      <selection activeCell="I50" sqref="I50"/>
    </sheetView>
  </sheetViews>
  <sheetFormatPr defaultColWidth="11.57421875" defaultRowHeight="12.75"/>
  <cols>
    <col min="1" max="1" width="3.7109375" style="0" customWidth="1"/>
    <col min="8" max="8" width="11.140625" style="0" bestFit="1" customWidth="1"/>
  </cols>
  <sheetData>
    <row r="2" spans="2:11" ht="12.75">
      <c r="B2" s="93" t="s">
        <v>368</v>
      </c>
      <c r="D2" s="25"/>
      <c r="E2" s="23"/>
      <c r="F2" s="23"/>
      <c r="G2" s="23"/>
      <c r="H2" s="89" t="s">
        <v>118</v>
      </c>
      <c r="K2" s="22"/>
    </row>
    <row r="3" spans="6:11" ht="12.75">
      <c r="F3" s="1"/>
      <c r="H3" s="63"/>
      <c r="I3" s="23"/>
      <c r="K3" s="24"/>
    </row>
    <row r="5" ht="12">
      <c r="C5" t="s">
        <v>152</v>
      </c>
    </row>
    <row r="8" spans="5:6" ht="12">
      <c r="E8" s="1" t="s">
        <v>476</v>
      </c>
      <c r="F8" t="s">
        <v>278</v>
      </c>
    </row>
    <row r="9" spans="4:8" ht="12">
      <c r="D9" s="1" t="s">
        <v>278</v>
      </c>
      <c r="E9" s="1" t="s">
        <v>402</v>
      </c>
      <c r="F9" s="1" t="s">
        <v>374</v>
      </c>
      <c r="G9" t="s">
        <v>278</v>
      </c>
      <c r="H9" s="1" t="s">
        <v>376</v>
      </c>
    </row>
    <row r="10" spans="3:8" ht="12">
      <c r="C10" s="1" t="s">
        <v>104</v>
      </c>
      <c r="D10" s="1" t="s">
        <v>277</v>
      </c>
      <c r="E10" s="1" t="s">
        <v>403</v>
      </c>
      <c r="F10" s="1" t="s">
        <v>477</v>
      </c>
      <c r="H10" s="1" t="s">
        <v>247</v>
      </c>
    </row>
    <row r="11" spans="3:8" ht="12">
      <c r="C11" s="1" t="s">
        <v>404</v>
      </c>
      <c r="D11" s="1" t="s">
        <v>404</v>
      </c>
      <c r="E11" s="1" t="s">
        <v>404</v>
      </c>
      <c r="F11" s="1" t="s">
        <v>404</v>
      </c>
      <c r="G11" s="1" t="s">
        <v>375</v>
      </c>
      <c r="H11" s="1" t="s">
        <v>226</v>
      </c>
    </row>
    <row r="12" spans="2:8" ht="12">
      <c r="B12" t="s">
        <v>265</v>
      </c>
      <c r="C12" s="20">
        <f>'Sched 1-C'!C10</f>
        <v>28196</v>
      </c>
      <c r="D12" s="3">
        <v>1476.8747071020907</v>
      </c>
      <c r="E12" s="20">
        <f>'Sched 1-C'!J10</f>
        <v>31243.573376102642</v>
      </c>
      <c r="F12" s="20">
        <f>E12-D12</f>
        <v>29766.69866900055</v>
      </c>
      <c r="G12" s="3">
        <f>F12*0.160492</f>
        <v>4777.317002785237</v>
      </c>
      <c r="H12" s="47">
        <f>G12*2.69</f>
        <v>12850.982737492286</v>
      </c>
    </row>
    <row r="13" spans="2:8" ht="12">
      <c r="B13" t="s">
        <v>280</v>
      </c>
      <c r="C13" s="20">
        <f>'Sched 1-C'!C11</f>
        <v>26490.07</v>
      </c>
      <c r="D13" s="3">
        <v>1337.98011183083</v>
      </c>
      <c r="E13" s="20">
        <f>'Sched 1-C'!J11</f>
        <v>26177.568944765044</v>
      </c>
      <c r="F13" s="20">
        <f aca="true" t="shared" si="0" ref="F13:F23">E13-D13</f>
        <v>24839.588832934212</v>
      </c>
      <c r="G13" s="3">
        <f aca="true" t="shared" si="1" ref="G13:G23">F13*0.160492</f>
        <v>3986.5552909752773</v>
      </c>
      <c r="H13" s="47">
        <f aca="true" t="shared" si="2" ref="H13:H23">G13*2.69</f>
        <v>10723.833732723495</v>
      </c>
    </row>
    <row r="14" spans="2:8" ht="12">
      <c r="B14" t="s">
        <v>506</v>
      </c>
      <c r="C14" s="20">
        <f>'Sched 1-C'!C12</f>
        <v>21324.03</v>
      </c>
      <c r="D14" s="3">
        <v>1159.5932490643322</v>
      </c>
      <c r="E14" s="20">
        <f>'Sched 1-C'!J12</f>
        <v>21455.401616358322</v>
      </c>
      <c r="F14" s="20">
        <f t="shared" si="0"/>
        <v>20295.80836729399</v>
      </c>
      <c r="G14" s="3">
        <f t="shared" si="1"/>
        <v>3257.314876483747</v>
      </c>
      <c r="H14" s="47">
        <f t="shared" si="2"/>
        <v>8762.17701774128</v>
      </c>
    </row>
    <row r="15" spans="2:8" ht="12">
      <c r="B15" t="s">
        <v>409</v>
      </c>
      <c r="C15" s="20">
        <f>'Sched 1-C'!C13</f>
        <v>11643.92</v>
      </c>
      <c r="D15" s="3">
        <v>782.5606178300186</v>
      </c>
      <c r="E15" s="20">
        <f>'Sched 1-C'!J13</f>
        <v>11996.139444444445</v>
      </c>
      <c r="F15" s="20">
        <f t="shared" si="0"/>
        <v>11213.578826614426</v>
      </c>
      <c r="G15" s="3">
        <f t="shared" si="1"/>
        <v>1799.6896930410026</v>
      </c>
      <c r="H15" s="47">
        <f t="shared" si="2"/>
        <v>4841.165274280297</v>
      </c>
    </row>
    <row r="16" spans="2:8" ht="12">
      <c r="B16" t="s">
        <v>255</v>
      </c>
      <c r="C16" s="20">
        <f>'Sched 1-C'!C14</f>
        <v>5467.34</v>
      </c>
      <c r="D16" s="3">
        <v>277.1151241245162</v>
      </c>
      <c r="E16" s="20">
        <f>'Sched 1-C'!J14</f>
        <v>4704.274818941504</v>
      </c>
      <c r="F16" s="20">
        <f t="shared" si="0"/>
        <v>4427.159694816988</v>
      </c>
      <c r="G16" s="3">
        <f t="shared" si="1"/>
        <v>710.523713740568</v>
      </c>
      <c r="H16" s="47">
        <f t="shared" si="2"/>
        <v>1911.308789962128</v>
      </c>
    </row>
    <row r="17" spans="2:8" ht="12">
      <c r="B17" t="s">
        <v>256</v>
      </c>
      <c r="C17" s="20">
        <f>'Sched 1-C'!C15</f>
        <v>1238.9</v>
      </c>
      <c r="D17" s="3">
        <v>39.171283486656534</v>
      </c>
      <c r="E17" s="20">
        <f>'Sched 1-C'!J15</f>
        <v>1238.9</v>
      </c>
      <c r="F17" s="20">
        <f t="shared" si="0"/>
        <v>1199.7287165133434</v>
      </c>
      <c r="G17" s="3">
        <f t="shared" si="1"/>
        <v>192.5468611706595</v>
      </c>
      <c r="H17" s="47">
        <f t="shared" si="2"/>
        <v>517.951056549074</v>
      </c>
    </row>
    <row r="18" spans="2:8" ht="12">
      <c r="B18" t="s">
        <v>257</v>
      </c>
      <c r="C18" s="20">
        <f>'Sched 1-C'!C16</f>
        <v>697.33</v>
      </c>
      <c r="D18" s="3">
        <v>6.901156184398872</v>
      </c>
      <c r="E18" s="20">
        <f>'Sched 1-C'!J16</f>
        <v>697.33</v>
      </c>
      <c r="F18" s="20">
        <f t="shared" si="0"/>
        <v>690.4288438156011</v>
      </c>
      <c r="G18" s="3">
        <f t="shared" si="1"/>
        <v>110.80830600165345</v>
      </c>
      <c r="H18" s="47">
        <f t="shared" si="2"/>
        <v>298.07434314444777</v>
      </c>
    </row>
    <row r="19" spans="2:8" ht="12">
      <c r="B19" t="s">
        <v>258</v>
      </c>
      <c r="C19" s="20">
        <f>'Sched 1-C'!C17</f>
        <v>729.89</v>
      </c>
      <c r="D19" s="3">
        <v>6.901156184398928</v>
      </c>
      <c r="E19" s="20">
        <f>'Sched 1-C'!J17</f>
        <v>729.89</v>
      </c>
      <c r="F19" s="20">
        <f t="shared" si="0"/>
        <v>722.9888438156011</v>
      </c>
      <c r="G19" s="3">
        <f t="shared" si="1"/>
        <v>116.03392552165344</v>
      </c>
      <c r="H19" s="47">
        <f t="shared" si="2"/>
        <v>312.13125965324775</v>
      </c>
    </row>
    <row r="20" spans="2:8" ht="12">
      <c r="B20" t="s">
        <v>240</v>
      </c>
      <c r="C20" s="20">
        <f>'Sched 1-C'!C18</f>
        <v>1434.86</v>
      </c>
      <c r="D20" s="3">
        <v>14.28378838166293</v>
      </c>
      <c r="E20" s="20">
        <f>'Sched 1-C'!J18</f>
        <v>1834.86</v>
      </c>
      <c r="F20" s="20">
        <f t="shared" si="0"/>
        <v>1820.5762116183369</v>
      </c>
      <c r="G20" s="3">
        <f t="shared" si="1"/>
        <v>292.1879173550501</v>
      </c>
      <c r="H20" s="47">
        <f t="shared" si="2"/>
        <v>785.9854976850847</v>
      </c>
    </row>
    <row r="21" spans="2:8" ht="12">
      <c r="B21" t="s">
        <v>279</v>
      </c>
      <c r="C21" s="20">
        <f>'Sched 1-C'!C19</f>
        <v>8172.41</v>
      </c>
      <c r="D21" s="3">
        <v>384.58217511603425</v>
      </c>
      <c r="E21" s="20">
        <f>'Sched 1-C'!J19</f>
        <v>8548.572704174228</v>
      </c>
      <c r="F21" s="20">
        <f t="shared" si="0"/>
        <v>8163.990529058194</v>
      </c>
      <c r="G21" s="3">
        <f t="shared" si="1"/>
        <v>1310.2551679896076</v>
      </c>
      <c r="H21" s="47">
        <f t="shared" si="2"/>
        <v>3524.5864018920443</v>
      </c>
    </row>
    <row r="22" spans="2:8" ht="12">
      <c r="B22" t="s">
        <v>365</v>
      </c>
      <c r="C22" s="20">
        <f>'Sched 1-C'!C20</f>
        <v>13677.95</v>
      </c>
      <c r="D22" s="3">
        <v>823.6208922071528</v>
      </c>
      <c r="E22" s="20">
        <f>'Sched 1-C'!J20</f>
        <v>17016.131132075472</v>
      </c>
      <c r="F22" s="20">
        <f t="shared" si="0"/>
        <v>16192.51023986832</v>
      </c>
      <c r="G22" s="3">
        <f t="shared" si="1"/>
        <v>2598.7683534169464</v>
      </c>
      <c r="H22" s="47">
        <f t="shared" si="2"/>
        <v>6990.686870691586</v>
      </c>
    </row>
    <row r="23" spans="2:8" ht="12">
      <c r="B23" t="s">
        <v>366</v>
      </c>
      <c r="C23" s="20">
        <f>'Sched 1-C'!C21</f>
        <v>24966.74</v>
      </c>
      <c r="D23" s="3">
        <v>931.4153468874179</v>
      </c>
      <c r="E23" s="20">
        <f>'Sched 1-C'!J21</f>
        <v>24743.76386554622</v>
      </c>
      <c r="F23" s="20">
        <f t="shared" si="0"/>
        <v>23812.348518658804</v>
      </c>
      <c r="G23" s="3">
        <f t="shared" si="1"/>
        <v>3821.691438456589</v>
      </c>
      <c r="H23" s="47">
        <f t="shared" si="2"/>
        <v>10280.349969448223</v>
      </c>
    </row>
    <row r="25" spans="5:8" ht="12">
      <c r="E25" s="47">
        <f>SUM(E12:E24)</f>
        <v>150386.4059024079</v>
      </c>
      <c r="F25" s="47">
        <f>SUM(F12:F24)</f>
        <v>143145.40629400837</v>
      </c>
      <c r="G25" s="47">
        <f>SUM(G12:G24)</f>
        <v>22973.692546937993</v>
      </c>
      <c r="H25" s="7">
        <f>SUM(H12:H24)</f>
        <v>61799.23295126319</v>
      </c>
    </row>
  </sheetData>
  <printOptions/>
  <pageMargins left="0.91" right="0.2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H46"/>
  <sheetViews>
    <sheetView workbookViewId="0" topLeftCell="A1">
      <selection activeCell="G8" sqref="G8"/>
    </sheetView>
  </sheetViews>
  <sheetFormatPr defaultColWidth="11.421875" defaultRowHeight="12.75"/>
  <cols>
    <col min="1" max="1" width="2.8515625" style="0" customWidth="1"/>
    <col min="2" max="2" width="8.421875" style="0" customWidth="1"/>
    <col min="3" max="3" width="9.28125" style="0" customWidth="1"/>
    <col min="5" max="5" width="10.140625" style="0" customWidth="1"/>
    <col min="6" max="6" width="12.7109375" style="0" customWidth="1"/>
    <col min="7" max="7" width="13.00390625" style="0" bestFit="1" customWidth="1"/>
  </cols>
  <sheetData>
    <row r="4" spans="2:7" ht="12">
      <c r="B4" t="s">
        <v>368</v>
      </c>
      <c r="G4" s="63"/>
    </row>
    <row r="5" spans="2:7" ht="12">
      <c r="B5" t="s">
        <v>10</v>
      </c>
      <c r="G5" s="6">
        <v>40060</v>
      </c>
    </row>
    <row r="6" ht="12">
      <c r="B6" t="s">
        <v>168</v>
      </c>
    </row>
    <row r="11" ht="12">
      <c r="D11" t="s">
        <v>155</v>
      </c>
    </row>
    <row r="12" ht="12">
      <c r="D12" t="s">
        <v>543</v>
      </c>
    </row>
    <row r="15" spans="2:8" ht="12">
      <c r="B15" t="s">
        <v>547</v>
      </c>
      <c r="C15" t="s">
        <v>262</v>
      </c>
      <c r="D15" s="1" t="s">
        <v>264</v>
      </c>
      <c r="E15" t="s">
        <v>267</v>
      </c>
      <c r="F15" t="s">
        <v>191</v>
      </c>
      <c r="G15" t="s">
        <v>156</v>
      </c>
      <c r="H15" t="s">
        <v>191</v>
      </c>
    </row>
    <row r="16" spans="2:8" ht="12">
      <c r="B16" t="s">
        <v>433</v>
      </c>
      <c r="C16" t="s">
        <v>191</v>
      </c>
      <c r="D16" s="1" t="s">
        <v>500</v>
      </c>
      <c r="E16" t="s">
        <v>273</v>
      </c>
      <c r="F16" t="s">
        <v>168</v>
      </c>
      <c r="G16" t="s">
        <v>269</v>
      </c>
      <c r="H16" t="s">
        <v>270</v>
      </c>
    </row>
    <row r="17" spans="2:8" ht="12">
      <c r="B17" t="s">
        <v>261</v>
      </c>
      <c r="C17" t="s">
        <v>263</v>
      </c>
      <c r="D17" s="1">
        <v>2008</v>
      </c>
      <c r="G17" t="s">
        <v>160</v>
      </c>
      <c r="H17" t="s">
        <v>271</v>
      </c>
    </row>
    <row r="19" spans="2:8" ht="12">
      <c r="B19" t="s">
        <v>243</v>
      </c>
      <c r="C19" t="s">
        <v>245</v>
      </c>
      <c r="D19">
        <v>110</v>
      </c>
      <c r="E19" s="20">
        <f>'Sched A'!E42+'Sched A'!E47</f>
        <v>5238127.683889624</v>
      </c>
      <c r="F19" s="20">
        <f>'Sched A'!E44+'Sched A'!E47</f>
        <v>5580067.35432321</v>
      </c>
      <c r="G19" s="20">
        <f>F19-E19</f>
        <v>341939.67043358646</v>
      </c>
      <c r="H19" s="13">
        <f>G19/E19</f>
        <v>0.0652789872773158</v>
      </c>
    </row>
    <row r="24" spans="1:2" ht="12">
      <c r="A24" t="s">
        <v>244</v>
      </c>
      <c r="B24" t="s">
        <v>230</v>
      </c>
    </row>
    <row r="26" spans="1:2" ht="12">
      <c r="A26" t="s">
        <v>274</v>
      </c>
      <c r="B26" t="s">
        <v>85</v>
      </c>
    </row>
    <row r="35" ht="12">
      <c r="C35" t="s">
        <v>86</v>
      </c>
    </row>
    <row r="38" spans="3:8" ht="12">
      <c r="C38" t="s">
        <v>87</v>
      </c>
      <c r="D38" s="180" t="s">
        <v>88</v>
      </c>
      <c r="E38" s="180" t="s">
        <v>89</v>
      </c>
      <c r="F38" s="180" t="s">
        <v>0</v>
      </c>
      <c r="G38" s="180"/>
      <c r="H38" s="180" t="s">
        <v>1</v>
      </c>
    </row>
    <row r="39" spans="3:8" ht="12">
      <c r="C39" t="s">
        <v>2</v>
      </c>
      <c r="D39" s="180" t="s">
        <v>552</v>
      </c>
      <c r="E39" s="180" t="s">
        <v>552</v>
      </c>
      <c r="F39" s="180" t="s">
        <v>384</v>
      </c>
      <c r="G39" s="180" t="s">
        <v>426</v>
      </c>
      <c r="H39" s="180" t="s">
        <v>380</v>
      </c>
    </row>
    <row r="40" spans="2:8" ht="15" customHeight="1">
      <c r="B40" t="s">
        <v>381</v>
      </c>
      <c r="C40">
        <v>250</v>
      </c>
      <c r="D40" s="9">
        <f>C40*'Sched A'!E37</f>
        <v>3967.5</v>
      </c>
      <c r="E40" s="9">
        <f>C40*'Sched A'!F37</f>
        <v>4634.683074224142</v>
      </c>
      <c r="F40" s="13">
        <f>E40/D40-1</f>
        <v>0.16816208550072886</v>
      </c>
      <c r="G40" s="3">
        <f>C40*F$46</f>
        <v>5327.5</v>
      </c>
      <c r="H40" s="13">
        <f>(G40+E40)/(G40+D40)-1</f>
        <v>0.07177870621023574</v>
      </c>
    </row>
    <row r="41" spans="2:8" ht="15" customHeight="1">
      <c r="B41" t="s">
        <v>382</v>
      </c>
      <c r="C41">
        <v>1500</v>
      </c>
      <c r="D41" s="9">
        <f>($C41-400)*'Sched A'!E37+400*'Sched A'!E38</f>
        <v>23029</v>
      </c>
      <c r="E41" s="9">
        <f>($C41-400)*'Sched A'!F37+400*'Sched A'!F38</f>
        <v>26901.604666996285</v>
      </c>
      <c r="F41" s="13">
        <f>E41/D41-1</f>
        <v>0.16816208550072886</v>
      </c>
      <c r="G41" s="3">
        <f>C41*F$46</f>
        <v>31964.999999999996</v>
      </c>
      <c r="H41" s="13">
        <f>(G41+E41)/(G41+D41)-1</f>
        <v>0.07041867598276697</v>
      </c>
    </row>
    <row r="42" spans="2:8" ht="15" customHeight="1">
      <c r="B42" t="s">
        <v>383</v>
      </c>
      <c r="C42">
        <v>8000</v>
      </c>
      <c r="D42" s="9">
        <f>($C42-4000)*'Sched A'!E37+(2000*'Sched A'!E38)+2000*'Sched A'!E39</f>
        <v>114420</v>
      </c>
      <c r="E42" s="9">
        <f>($C42-4000)*'Sched A'!F37+(2000*'Sched A'!F38)+2000*'Sched A'!F39</f>
        <v>133661.10582299338</v>
      </c>
      <c r="F42" s="13">
        <f>E42/D42-1</f>
        <v>0.16816208550072886</v>
      </c>
      <c r="G42" s="3">
        <f>C42*F$46</f>
        <v>170480</v>
      </c>
      <c r="H42" s="13">
        <f>(G42+E42)/(G42+D42)-1</f>
        <v>0.06753634897505578</v>
      </c>
    </row>
    <row r="46" spans="3:6" ht="12">
      <c r="C46" t="s">
        <v>28</v>
      </c>
      <c r="F46" s="173">
        <v>21.31</v>
      </c>
    </row>
  </sheetData>
  <printOptions/>
  <pageMargins left="0.98" right="0.48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H53"/>
  <sheetViews>
    <sheetView workbookViewId="0" topLeftCell="A1">
      <selection activeCell="B5" sqref="B5"/>
    </sheetView>
  </sheetViews>
  <sheetFormatPr defaultColWidth="11.421875" defaultRowHeight="12.75"/>
  <cols>
    <col min="1" max="1" width="4.421875" style="0" customWidth="1"/>
    <col min="5" max="5" width="11.7109375" style="0" bestFit="1" customWidth="1"/>
    <col min="6" max="6" width="11.140625" style="0" bestFit="1" customWidth="1"/>
    <col min="7" max="7" width="11.7109375" style="0" bestFit="1" customWidth="1"/>
  </cols>
  <sheetData>
    <row r="4" ht="12">
      <c r="B4" t="s">
        <v>368</v>
      </c>
    </row>
    <row r="5" ht="12">
      <c r="B5" t="s">
        <v>10</v>
      </c>
    </row>
    <row r="6" ht="12">
      <c r="B6" t="s">
        <v>168</v>
      </c>
    </row>
    <row r="8" ht="12">
      <c r="D8" t="s">
        <v>147</v>
      </c>
    </row>
    <row r="9" ht="12">
      <c r="D9" t="s">
        <v>543</v>
      </c>
    </row>
    <row r="10" ht="12">
      <c r="F10" t="s">
        <v>47</v>
      </c>
    </row>
    <row r="11" spans="5:7" ht="12">
      <c r="E11" t="s">
        <v>343</v>
      </c>
      <c r="F11" t="s">
        <v>113</v>
      </c>
      <c r="G11" t="s">
        <v>344</v>
      </c>
    </row>
    <row r="12" spans="5:7" ht="12">
      <c r="E12" t="s">
        <v>345</v>
      </c>
      <c r="F12" t="s">
        <v>557</v>
      </c>
      <c r="G12" t="s">
        <v>428</v>
      </c>
    </row>
    <row r="14" spans="2:7" ht="12">
      <c r="B14" t="s">
        <v>170</v>
      </c>
      <c r="E14" s="20">
        <f>'Sched A'!E12</f>
        <v>4872888.647285185</v>
      </c>
      <c r="F14" s="20">
        <f>'Sched A'!F12</f>
        <v>58318.24999999907</v>
      </c>
      <c r="G14" s="20">
        <f>E14+F14</f>
        <v>4931206.897285184</v>
      </c>
    </row>
    <row r="16" spans="2:7" ht="12">
      <c r="B16" t="s">
        <v>295</v>
      </c>
      <c r="E16" s="66">
        <f>'Sched A'!E14</f>
        <v>0.07238727456493121</v>
      </c>
      <c r="G16" s="66">
        <v>0.015</v>
      </c>
    </row>
    <row r="18" spans="2:7" ht="12">
      <c r="B18" t="s">
        <v>13</v>
      </c>
      <c r="E18" s="3">
        <f>'Sched A'!E16</f>
        <v>352735.12843536894</v>
      </c>
      <c r="G18" s="3">
        <f>G14*G16</f>
        <v>73968.10345927776</v>
      </c>
    </row>
    <row r="19" ht="12">
      <c r="G19" s="3"/>
    </row>
    <row r="20" spans="2:7" ht="12">
      <c r="B20" t="s">
        <v>533</v>
      </c>
      <c r="E20" s="3">
        <f>'Sched A'!E18</f>
        <v>-173432.4299999997</v>
      </c>
      <c r="F20" s="3">
        <f>'Sched A'!F18</f>
        <v>-46023.21417215568</v>
      </c>
      <c r="G20" s="3">
        <f>E20+F20</f>
        <v>-219455.6441721554</v>
      </c>
    </row>
    <row r="21" ht="12">
      <c r="G21" s="3"/>
    </row>
    <row r="22" ht="12">
      <c r="G22" s="3"/>
    </row>
    <row r="23" spans="2:7" ht="12">
      <c r="B23" t="s">
        <v>46</v>
      </c>
      <c r="E23" s="3">
        <f>E30</f>
        <v>231360.13309032895</v>
      </c>
      <c r="G23" s="3">
        <f>G30</f>
        <v>48515.92280215255</v>
      </c>
    </row>
    <row r="24" spans="5:7" ht="12">
      <c r="E24" s="3"/>
      <c r="G24" s="3"/>
    </row>
    <row r="25" spans="2:7" ht="12">
      <c r="B25" t="s">
        <v>472</v>
      </c>
      <c r="E25" s="3">
        <f>'Sched A'!E23</f>
        <v>-757527.6915256975</v>
      </c>
      <c r="G25" s="3">
        <f>G20-G18-G23</f>
        <v>-341939.67043358565</v>
      </c>
    </row>
    <row r="26" spans="5:7" ht="12">
      <c r="E26" s="3"/>
      <c r="G26" s="3"/>
    </row>
    <row r="27" spans="5:7" ht="12">
      <c r="E27" s="3"/>
      <c r="G27" s="3"/>
    </row>
    <row r="28" spans="2:7" ht="12">
      <c r="B28" s="70" t="s">
        <v>473</v>
      </c>
      <c r="C28" s="70"/>
      <c r="D28" s="70"/>
      <c r="E28" s="90">
        <f>'Sched A'!E26</f>
        <v>352735.12843536894</v>
      </c>
      <c r="F28" s="70"/>
      <c r="G28" s="90">
        <f>G18</f>
        <v>73968.10345927776</v>
      </c>
    </row>
    <row r="29" spans="2:7" ht="12">
      <c r="B29" t="s">
        <v>36</v>
      </c>
      <c r="E29" s="12">
        <f>'Sched A'!E27</f>
        <v>584095.2615256979</v>
      </c>
      <c r="G29" s="3">
        <f>G28/0.6039</f>
        <v>122484.0262614303</v>
      </c>
    </row>
    <row r="30" spans="2:7" ht="12">
      <c r="B30" s="58" t="s">
        <v>367</v>
      </c>
      <c r="C30" s="58"/>
      <c r="D30" s="58"/>
      <c r="E30" s="4">
        <f>'Sched A'!E28</f>
        <v>231360.13309032895</v>
      </c>
      <c r="F30" s="58"/>
      <c r="G30" s="4">
        <f>G29-G28</f>
        <v>48515.92280215255</v>
      </c>
    </row>
    <row r="35" spans="1:2" ht="12.75">
      <c r="A35" s="75" t="s">
        <v>274</v>
      </c>
      <c r="B35" t="s">
        <v>251</v>
      </c>
    </row>
    <row r="36" ht="12">
      <c r="B36" t="s">
        <v>78</v>
      </c>
    </row>
    <row r="40" spans="3:6" ht="12">
      <c r="C40" t="s">
        <v>484</v>
      </c>
      <c r="F40" s="20">
        <f>'Sched A'!G33</f>
        <v>150386.4059024079</v>
      </c>
    </row>
    <row r="41" ht="12">
      <c r="E41" t="s">
        <v>190</v>
      </c>
    </row>
    <row r="42" spans="4:6" ht="12">
      <c r="D42" t="s">
        <v>346</v>
      </c>
      <c r="E42" s="62">
        <v>15.87</v>
      </c>
      <c r="F42" s="187">
        <f>E42*(1+F$50)</f>
        <v>18.538732296896566</v>
      </c>
    </row>
    <row r="43" spans="4:6" ht="12">
      <c r="D43" t="s">
        <v>347</v>
      </c>
      <c r="E43" s="62">
        <v>13.93</v>
      </c>
      <c r="F43" s="187">
        <f>E43*(1+F$50)</f>
        <v>16.272497851025154</v>
      </c>
    </row>
    <row r="44" spans="4:6" ht="12">
      <c r="D44" t="s">
        <v>189</v>
      </c>
      <c r="E44" s="62">
        <v>11.54</v>
      </c>
      <c r="F44" s="187">
        <f>E44*(1+F$50)</f>
        <v>13.48059046667841</v>
      </c>
    </row>
    <row r="47" spans="3:6" ht="12">
      <c r="C47" t="s">
        <v>555</v>
      </c>
      <c r="F47" s="3">
        <f>'Sched A'!E42</f>
        <v>2033393.3741093124</v>
      </c>
    </row>
    <row r="48" spans="3:6" ht="12">
      <c r="C48" t="s">
        <v>192</v>
      </c>
      <c r="F48" s="47">
        <f>-G25</f>
        <v>341939.67043358565</v>
      </c>
    </row>
    <row r="49" spans="3:6" ht="12">
      <c r="C49" t="s">
        <v>193</v>
      </c>
      <c r="F49" s="47">
        <f>F47+F48</f>
        <v>2375333.044542898</v>
      </c>
    </row>
    <row r="50" spans="4:6" ht="12">
      <c r="D50" t="s">
        <v>462</v>
      </c>
      <c r="F50" s="13">
        <f>F48/F47</f>
        <v>0.1681620855007288</v>
      </c>
    </row>
    <row r="52" spans="3:8" ht="12">
      <c r="C52" t="s">
        <v>238</v>
      </c>
      <c r="F52" s="7">
        <f>'Sched A'!E47</f>
        <v>3204734.309780312</v>
      </c>
      <c r="H52" s="47"/>
    </row>
    <row r="53" spans="4:6" ht="12">
      <c r="D53" t="s">
        <v>79</v>
      </c>
      <c r="F53" s="13">
        <f>F48/(F52+F47)</f>
        <v>0.06527898727731565</v>
      </c>
    </row>
  </sheetData>
  <printOptions/>
  <pageMargins left="1.01" right="0.49" top="0.26" bottom="0.56" header="0.2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I101"/>
  <sheetViews>
    <sheetView tabSelected="1" workbookViewId="0" topLeftCell="A1">
      <selection activeCell="G29" sqref="G29"/>
    </sheetView>
  </sheetViews>
  <sheetFormatPr defaultColWidth="11.57421875" defaultRowHeight="12.75"/>
  <cols>
    <col min="1" max="1" width="2.7109375" style="0" customWidth="1"/>
    <col min="2" max="2" width="7.8515625" style="0" customWidth="1"/>
    <col min="3" max="3" width="9.28125" style="0" customWidth="1"/>
    <col min="4" max="4" width="11.7109375" style="0" customWidth="1"/>
    <col min="5" max="5" width="11.7109375" style="0" bestFit="1" customWidth="1"/>
    <col min="6" max="6" width="10.28125" style="0" customWidth="1"/>
    <col min="7" max="7" width="11.28125" style="0" customWidth="1"/>
    <col min="8" max="8" width="8.8515625" style="0" customWidth="1"/>
    <col min="9" max="9" width="7.8515625" style="0" customWidth="1"/>
    <col min="10" max="10" width="3.140625" style="0" customWidth="1"/>
  </cols>
  <sheetData>
    <row r="3" spans="2:8" ht="12.75">
      <c r="B3" s="65" t="s">
        <v>368</v>
      </c>
      <c r="H3" s="22" t="s">
        <v>341</v>
      </c>
    </row>
    <row r="4" spans="2:6" ht="12.75">
      <c r="B4" s="209" t="s">
        <v>10</v>
      </c>
      <c r="C4" s="36"/>
      <c r="D4" s="36"/>
      <c r="E4" s="36"/>
      <c r="F4" s="36"/>
    </row>
    <row r="5" spans="2:6" ht="12.75">
      <c r="B5" s="36"/>
      <c r="C5" s="36"/>
      <c r="D5" s="36"/>
      <c r="E5" s="36"/>
      <c r="F5" s="36"/>
    </row>
    <row r="6" spans="2:6" ht="12.75">
      <c r="B6" s="36"/>
      <c r="D6" s="36" t="s">
        <v>342</v>
      </c>
      <c r="E6" s="36"/>
      <c r="F6" s="36"/>
    </row>
    <row r="7" spans="2:4" ht="12.75">
      <c r="B7" s="36"/>
      <c r="D7" t="s">
        <v>5</v>
      </c>
    </row>
    <row r="8" spans="2:7" ht="12.75">
      <c r="B8" s="36"/>
      <c r="C8" s="36"/>
      <c r="E8" s="37"/>
      <c r="F8" s="39" t="s">
        <v>47</v>
      </c>
      <c r="G8" s="38" t="s">
        <v>31</v>
      </c>
    </row>
    <row r="9" spans="2:7" ht="12.75">
      <c r="B9" s="36"/>
      <c r="C9" s="36"/>
      <c r="E9" s="38" t="s">
        <v>343</v>
      </c>
      <c r="F9" s="39" t="s">
        <v>113</v>
      </c>
      <c r="G9" s="38" t="s">
        <v>344</v>
      </c>
    </row>
    <row r="10" spans="2:7" ht="12.75">
      <c r="B10" s="36"/>
      <c r="C10" s="36"/>
      <c r="E10" s="38" t="s">
        <v>345</v>
      </c>
      <c r="F10" s="39" t="s">
        <v>557</v>
      </c>
      <c r="G10" s="38" t="s">
        <v>345</v>
      </c>
    </row>
    <row r="11" spans="2:7" ht="12.75">
      <c r="B11" s="36"/>
      <c r="C11" s="36"/>
      <c r="E11" s="37"/>
      <c r="F11" s="36"/>
      <c r="G11" s="37"/>
    </row>
    <row r="12" spans="2:7" ht="12.75">
      <c r="B12" s="67" t="s">
        <v>170</v>
      </c>
      <c r="C12" s="67"/>
      <c r="E12" s="37">
        <f>'Sched 3'!E39</f>
        <v>4872888.647285185</v>
      </c>
      <c r="F12" s="37">
        <f>'Sched 3'!G21</f>
        <v>58318.24999999907</v>
      </c>
      <c r="G12" s="37">
        <f>E12+F12</f>
        <v>4931206.897285184</v>
      </c>
    </row>
    <row r="13" spans="2:7" ht="12.75">
      <c r="B13" s="36"/>
      <c r="C13" s="36"/>
      <c r="E13" s="37"/>
      <c r="F13" s="36"/>
      <c r="G13" s="37"/>
    </row>
    <row r="14" spans="2:7" ht="12.75">
      <c r="B14" s="36" t="s">
        <v>295</v>
      </c>
      <c r="C14" s="36"/>
      <c r="E14" s="41">
        <f>'Rate of Retrn'!G25</f>
        <v>0.07238727456493121</v>
      </c>
      <c r="F14" s="36"/>
      <c r="G14" s="41">
        <v>0.015</v>
      </c>
    </row>
    <row r="15" spans="2:7" ht="12.75">
      <c r="B15" s="36"/>
      <c r="C15" s="36"/>
      <c r="E15" s="37"/>
      <c r="F15" s="36"/>
      <c r="G15" s="37"/>
    </row>
    <row r="16" spans="2:7" ht="12.75">
      <c r="B16" s="36" t="s">
        <v>13</v>
      </c>
      <c r="C16" s="36"/>
      <c r="E16" s="37">
        <f>E14*E12</f>
        <v>352735.12843536894</v>
      </c>
      <c r="F16" s="36"/>
      <c r="G16" s="37">
        <f>G12*G14</f>
        <v>73968.10345927776</v>
      </c>
    </row>
    <row r="17" spans="2:7" ht="12.75">
      <c r="B17" s="36"/>
      <c r="C17" s="36"/>
      <c r="E17" s="37"/>
      <c r="F17" s="36"/>
      <c r="G17" s="37"/>
    </row>
    <row r="18" spans="2:7" ht="12.75">
      <c r="B18" s="67" t="s">
        <v>533</v>
      </c>
      <c r="C18" s="67"/>
      <c r="E18" s="37">
        <f>'Sched 1'!D40</f>
        <v>-173432.4299999997</v>
      </c>
      <c r="F18" s="37">
        <f>'Sched 1'!E40</f>
        <v>-46023.21417215568</v>
      </c>
      <c r="G18" s="37">
        <f>E18+F18</f>
        <v>-219455.6441721554</v>
      </c>
    </row>
    <row r="19" spans="2:7" ht="12.75">
      <c r="B19" s="36"/>
      <c r="C19" s="36"/>
      <c r="E19" s="37"/>
      <c r="F19" s="36"/>
      <c r="G19" s="37"/>
    </row>
    <row r="20" spans="2:7" ht="12.75">
      <c r="B20" s="36"/>
      <c r="C20" s="36"/>
      <c r="E20" s="37"/>
      <c r="F20" s="36"/>
      <c r="G20" s="37"/>
    </row>
    <row r="21" spans="2:7" ht="12.75">
      <c r="B21" s="214" t="s">
        <v>46</v>
      </c>
      <c r="C21" s="214"/>
      <c r="E21" s="37">
        <f>E28</f>
        <v>231360.13309032895</v>
      </c>
      <c r="F21" s="36"/>
      <c r="G21" s="37">
        <f>G28</f>
        <v>48515.92280215255</v>
      </c>
    </row>
    <row r="22" spans="2:7" ht="12.75">
      <c r="B22" s="36"/>
      <c r="C22" s="36"/>
      <c r="E22" s="37"/>
      <c r="F22" s="36"/>
      <c r="G22" s="42"/>
    </row>
    <row r="23" spans="2:7" ht="12.75">
      <c r="B23" s="214" t="s">
        <v>472</v>
      </c>
      <c r="C23" s="214"/>
      <c r="E23" s="91">
        <f>E18-E16-E28</f>
        <v>-757527.6915256975</v>
      </c>
      <c r="F23" s="36"/>
      <c r="G23" s="9">
        <f>G18-G16-G28</f>
        <v>-341939.67043358565</v>
      </c>
    </row>
    <row r="24" spans="2:7" ht="12.75">
      <c r="B24" s="36"/>
      <c r="C24" s="36"/>
      <c r="E24" s="37"/>
      <c r="F24" s="36"/>
      <c r="G24" s="37"/>
    </row>
    <row r="25" spans="2:7" ht="12.75">
      <c r="B25" s="43"/>
      <c r="C25" s="43"/>
      <c r="E25" s="42"/>
      <c r="F25" s="43"/>
      <c r="G25" s="42"/>
    </row>
    <row r="26" spans="2:7" ht="12.75">
      <c r="B26" s="68" t="s">
        <v>473</v>
      </c>
      <c r="C26" s="68"/>
      <c r="D26" s="70"/>
      <c r="E26" s="37">
        <f>E16</f>
        <v>352735.12843536894</v>
      </c>
      <c r="F26" s="36"/>
      <c r="G26" s="37">
        <f>G16</f>
        <v>73968.10345927776</v>
      </c>
    </row>
    <row r="27" spans="2:7" ht="12.75">
      <c r="B27" s="67" t="s">
        <v>36</v>
      </c>
      <c r="C27" s="67"/>
      <c r="E27" s="44">
        <f>E26/0.6039</f>
        <v>584095.2615256979</v>
      </c>
      <c r="F27" s="36"/>
      <c r="G27" s="44">
        <f>G26/0.6039</f>
        <v>122484.0262614303</v>
      </c>
    </row>
    <row r="28" spans="2:7" ht="12.75">
      <c r="B28" s="69" t="s">
        <v>367</v>
      </c>
      <c r="C28" s="69"/>
      <c r="D28" s="58"/>
      <c r="E28" s="42">
        <f>E27-E26</f>
        <v>231360.13309032895</v>
      </c>
      <c r="F28" s="43"/>
      <c r="G28" s="42">
        <f>G27-G26</f>
        <v>48515.92280215255</v>
      </c>
    </row>
    <row r="29" spans="2:6" ht="12.75">
      <c r="B29" s="36"/>
      <c r="C29" s="36"/>
      <c r="D29" s="37"/>
      <c r="E29" s="36"/>
      <c r="F29" s="36"/>
    </row>
    <row r="33" spans="3:7" ht="12">
      <c r="C33" t="s">
        <v>29</v>
      </c>
      <c r="G33" s="20">
        <f>'Sched 1-C'!J23</f>
        <v>150386.4059024079</v>
      </c>
    </row>
    <row r="35" ht="12">
      <c r="C35" t="s">
        <v>484</v>
      </c>
    </row>
    <row r="36" spans="5:8" ht="12">
      <c r="E36" t="s">
        <v>190</v>
      </c>
      <c r="F36" t="s">
        <v>191</v>
      </c>
      <c r="H36" s="48"/>
    </row>
    <row r="37" spans="4:8" ht="12">
      <c r="D37" t="s">
        <v>346</v>
      </c>
      <c r="E37" s="62">
        <v>15.87</v>
      </c>
      <c r="F37" s="62">
        <f>E37*(1+E$45)</f>
        <v>18.538732296896566</v>
      </c>
      <c r="G37" s="32">
        <f>F37-E37</f>
        <v>2.6687322968965663</v>
      </c>
      <c r="H37" s="167"/>
    </row>
    <row r="38" spans="4:7" ht="12">
      <c r="D38" t="s">
        <v>347</v>
      </c>
      <c r="E38" s="62">
        <v>13.93</v>
      </c>
      <c r="F38" s="62">
        <f>E38*(1+E$45)</f>
        <v>16.272497851025154</v>
      </c>
      <c r="G38" s="32">
        <f>F38-E38</f>
        <v>2.342497851025154</v>
      </c>
    </row>
    <row r="39" spans="4:7" ht="12">
      <c r="D39" t="s">
        <v>189</v>
      </c>
      <c r="E39" s="62">
        <v>11.54</v>
      </c>
      <c r="F39" s="62">
        <f>E39*(1+E$45)</f>
        <v>13.48059046667841</v>
      </c>
      <c r="G39" s="32">
        <f>F39-E39</f>
        <v>1.9405904666784117</v>
      </c>
    </row>
    <row r="42" spans="2:5" ht="12">
      <c r="B42" t="s">
        <v>555</v>
      </c>
      <c r="E42" s="3">
        <f>'Sched 1'!F12</f>
        <v>2033393.3741093124</v>
      </c>
    </row>
    <row r="43" spans="2:5" ht="12">
      <c r="B43" t="s">
        <v>192</v>
      </c>
      <c r="E43" s="9">
        <f>-G23</f>
        <v>341939.67043358565</v>
      </c>
    </row>
    <row r="44" spans="2:5" ht="12">
      <c r="B44" t="s">
        <v>193</v>
      </c>
      <c r="E44" s="47">
        <f>E43+E42</f>
        <v>2375333.044542898</v>
      </c>
    </row>
    <row r="45" spans="3:5" ht="12">
      <c r="C45" t="s">
        <v>462</v>
      </c>
      <c r="E45" s="13">
        <f>E43/E42</f>
        <v>0.1681620855007288</v>
      </c>
    </row>
    <row r="46" spans="5:8" ht="12">
      <c r="E46" s="47"/>
      <c r="F46" s="86"/>
      <c r="G46" s="48"/>
      <c r="H46" s="48"/>
    </row>
    <row r="47" spans="2:5" ht="12">
      <c r="B47" t="s">
        <v>238</v>
      </c>
      <c r="E47" s="47">
        <f>G33*D52</f>
        <v>3204734.309780312</v>
      </c>
    </row>
    <row r="48" spans="3:5" ht="12">
      <c r="C48" t="s">
        <v>126</v>
      </c>
      <c r="E48" s="13">
        <f>E43/(E42+E47)</f>
        <v>0.06527898727731565</v>
      </c>
    </row>
    <row r="49" ht="12">
      <c r="E49" s="174"/>
    </row>
    <row r="50" spans="3:9" ht="12">
      <c r="C50" s="1" t="s">
        <v>190</v>
      </c>
      <c r="D50" s="1" t="s">
        <v>190</v>
      </c>
      <c r="G50" s="1" t="s">
        <v>31</v>
      </c>
      <c r="H50" s="1" t="s">
        <v>31</v>
      </c>
      <c r="I50" t="s">
        <v>25</v>
      </c>
    </row>
    <row r="51" spans="3:9" ht="12">
      <c r="C51" s="1" t="s">
        <v>427</v>
      </c>
      <c r="D51" s="1" t="s">
        <v>426</v>
      </c>
      <c r="E51" s="1" t="s">
        <v>24</v>
      </c>
      <c r="F51" s="1" t="s">
        <v>27</v>
      </c>
      <c r="G51" s="1" t="s">
        <v>88</v>
      </c>
      <c r="H51" s="1" t="s">
        <v>89</v>
      </c>
      <c r="I51" t="s">
        <v>26</v>
      </c>
    </row>
    <row r="52" spans="3:9" ht="12">
      <c r="C52" s="32">
        <f>E37</f>
        <v>15.87</v>
      </c>
      <c r="D52" s="32">
        <v>21.31</v>
      </c>
      <c r="E52" s="32">
        <f>F37</f>
        <v>18.538732296896566</v>
      </c>
      <c r="F52" s="48">
        <v>17.3</v>
      </c>
      <c r="G52" s="48">
        <f>D52+C52</f>
        <v>37.18</v>
      </c>
      <c r="H52" s="32">
        <f>F52+E52</f>
        <v>35.838732296896566</v>
      </c>
      <c r="I52" s="172">
        <f>-(G52/H52-1)</f>
        <v>-0.03742508780701437</v>
      </c>
    </row>
    <row r="53" spans="3:9" ht="12">
      <c r="C53" s="32">
        <f>E38</f>
        <v>13.93</v>
      </c>
      <c r="D53" s="32">
        <f>D52</f>
        <v>21.31</v>
      </c>
      <c r="E53" s="32">
        <f>F38</f>
        <v>16.272497851025154</v>
      </c>
      <c r="F53" s="182">
        <f>F52</f>
        <v>17.3</v>
      </c>
      <c r="G53" s="48">
        <f>D53+C53</f>
        <v>35.239999999999995</v>
      </c>
      <c r="H53" s="32">
        <f>F53+E53</f>
        <v>33.572497851025155</v>
      </c>
      <c r="I53" s="185">
        <f>-(G53/H53-1)</f>
        <v>-0.04966869478625702</v>
      </c>
    </row>
    <row r="54" spans="3:9" ht="12">
      <c r="C54" s="32">
        <f>E39</f>
        <v>11.54</v>
      </c>
      <c r="D54" s="32">
        <f>D52</f>
        <v>21.31</v>
      </c>
      <c r="E54" s="32">
        <f>F39</f>
        <v>13.48059046667841</v>
      </c>
      <c r="F54" s="182">
        <f>F52</f>
        <v>17.3</v>
      </c>
      <c r="G54" s="48">
        <f>D54+C54</f>
        <v>32.849999999999994</v>
      </c>
      <c r="H54" s="32">
        <f>F54+E54</f>
        <v>30.78059046667841</v>
      </c>
      <c r="I54" s="185">
        <f>-(G54/H54-1)</f>
        <v>-0.06723098881296075</v>
      </c>
    </row>
    <row r="59" spans="2:7" ht="12.75">
      <c r="B59" s="65" t="s">
        <v>368</v>
      </c>
      <c r="G59" s="22"/>
    </row>
    <row r="60" spans="2:6" ht="12.75">
      <c r="B60" s="209" t="s">
        <v>10</v>
      </c>
      <c r="C60" s="36"/>
      <c r="D60" s="36"/>
      <c r="E60" s="36"/>
      <c r="F60" s="36"/>
    </row>
    <row r="61" spans="2:6" ht="12.75">
      <c r="B61" s="65"/>
      <c r="C61" s="36"/>
      <c r="D61" s="36"/>
      <c r="E61" s="36"/>
      <c r="F61" s="36"/>
    </row>
    <row r="62" spans="2:6" ht="12.75">
      <c r="B62" s="65"/>
      <c r="C62" s="36"/>
      <c r="D62" s="36"/>
      <c r="E62" s="36"/>
      <c r="F62" s="36"/>
    </row>
    <row r="63" spans="2:6" ht="12.75">
      <c r="B63" s="65"/>
      <c r="C63" s="36"/>
      <c r="D63" s="36"/>
      <c r="E63" s="36"/>
      <c r="F63" s="36"/>
    </row>
    <row r="64" spans="2:6" ht="12.75">
      <c r="B64" s="65"/>
      <c r="C64" s="36"/>
      <c r="D64" s="36"/>
      <c r="E64" s="36"/>
      <c r="F64" s="36"/>
    </row>
    <row r="65" spans="2:6" ht="12.75">
      <c r="B65" s="36"/>
      <c r="C65" s="36"/>
      <c r="D65" s="36"/>
      <c r="E65" s="36"/>
      <c r="F65" s="36"/>
    </row>
    <row r="66" spans="2:7" ht="12.75">
      <c r="B66" s="36"/>
      <c r="D66" s="36" t="s">
        <v>546</v>
      </c>
      <c r="E66" s="36"/>
      <c r="F66" s="36"/>
      <c r="G66" s="36"/>
    </row>
    <row r="67" spans="2:4" ht="12.75">
      <c r="B67" s="36"/>
      <c r="D67" t="str">
        <f>D7</f>
        <v>Test Year ending Dec. 31, 2008</v>
      </c>
    </row>
    <row r="70" spans="2:8" ht="12">
      <c r="B70" t="s">
        <v>547</v>
      </c>
      <c r="C70" t="s">
        <v>262</v>
      </c>
      <c r="D70" s="1" t="s">
        <v>264</v>
      </c>
      <c r="E70" s="1" t="s">
        <v>267</v>
      </c>
      <c r="F70" s="1" t="s">
        <v>191</v>
      </c>
      <c r="G70" s="1" t="s">
        <v>191</v>
      </c>
      <c r="H70" s="1" t="s">
        <v>191</v>
      </c>
    </row>
    <row r="71" spans="2:8" ht="12">
      <c r="B71" t="s">
        <v>433</v>
      </c>
      <c r="C71" t="s">
        <v>191</v>
      </c>
      <c r="D71" s="1" t="s">
        <v>500</v>
      </c>
      <c r="E71" s="1" t="s">
        <v>273</v>
      </c>
      <c r="F71" s="1" t="s">
        <v>268</v>
      </c>
      <c r="G71" s="1" t="s">
        <v>269</v>
      </c>
      <c r="H71" s="1" t="s">
        <v>270</v>
      </c>
    </row>
    <row r="72" spans="2:8" ht="12">
      <c r="B72" t="s">
        <v>261</v>
      </c>
      <c r="C72" t="s">
        <v>263</v>
      </c>
      <c r="D72" s="1">
        <v>2008</v>
      </c>
      <c r="E72" s="1"/>
      <c r="F72" s="1"/>
      <c r="G72" s="1" t="s">
        <v>160</v>
      </c>
      <c r="H72" s="1" t="s">
        <v>271</v>
      </c>
    </row>
    <row r="73" spans="7:8" ht="12">
      <c r="G73" s="1"/>
      <c r="H73" s="1"/>
    </row>
    <row r="74" spans="2:8" ht="12">
      <c r="B74" t="s">
        <v>243</v>
      </c>
      <c r="C74" t="s">
        <v>245</v>
      </c>
      <c r="D74">
        <v>110</v>
      </c>
      <c r="E74" s="74">
        <f>E47+E42</f>
        <v>5238127.683889624</v>
      </c>
      <c r="F74" s="74">
        <f>E47+E44</f>
        <v>5580067.35432321</v>
      </c>
      <c r="G74" s="73">
        <f>E43</f>
        <v>341939.67043358565</v>
      </c>
      <c r="H74" s="71">
        <f>E48</f>
        <v>0.06527898727731565</v>
      </c>
    </row>
    <row r="79" spans="2:3" ht="12.75">
      <c r="B79" s="75" t="s">
        <v>244</v>
      </c>
      <c r="C79" t="s">
        <v>230</v>
      </c>
    </row>
    <row r="81" spans="2:3" ht="12.75">
      <c r="B81" s="75" t="s">
        <v>274</v>
      </c>
      <c r="C81" t="s">
        <v>272</v>
      </c>
    </row>
    <row r="90" ht="12">
      <c r="C90" t="s">
        <v>86</v>
      </c>
    </row>
    <row r="93" spans="3:8" ht="12">
      <c r="C93" t="s">
        <v>87</v>
      </c>
      <c r="D93" s="203" t="s">
        <v>88</v>
      </c>
      <c r="E93" s="203" t="s">
        <v>89</v>
      </c>
      <c r="F93" s="203" t="s">
        <v>59</v>
      </c>
      <c r="G93" s="203"/>
      <c r="H93" s="203" t="s">
        <v>1</v>
      </c>
    </row>
    <row r="94" spans="3:8" ht="12">
      <c r="C94" t="s">
        <v>2</v>
      </c>
      <c r="D94" s="203" t="s">
        <v>552</v>
      </c>
      <c r="E94" s="203" t="s">
        <v>552</v>
      </c>
      <c r="F94" s="203" t="s">
        <v>60</v>
      </c>
      <c r="G94" s="203" t="s">
        <v>426</v>
      </c>
      <c r="H94" s="203" t="s">
        <v>380</v>
      </c>
    </row>
    <row r="95" spans="2:8" ht="12">
      <c r="B95" t="s">
        <v>381</v>
      </c>
      <c r="C95">
        <v>250</v>
      </c>
      <c r="D95" s="9">
        <f>C95*E37</f>
        <v>3967.5</v>
      </c>
      <c r="E95" s="9">
        <f>C95*F37</f>
        <v>4634.683074224142</v>
      </c>
      <c r="F95" s="185">
        <f>E95/D95-1</f>
        <v>0.16816208550072886</v>
      </c>
      <c r="G95" s="179">
        <f>C95*F$101</f>
        <v>5327.5</v>
      </c>
      <c r="H95" s="185">
        <f>(G95+E95)/(G95+D95)-1</f>
        <v>0.07177870621023574</v>
      </c>
    </row>
    <row r="96" spans="2:8" ht="12">
      <c r="B96" t="s">
        <v>382</v>
      </c>
      <c r="C96">
        <v>1500</v>
      </c>
      <c r="D96" s="9">
        <f>($C96-400)*E37+400*E38</f>
        <v>23029</v>
      </c>
      <c r="E96" s="9">
        <f>($C96-400)*F37+400*F38</f>
        <v>26901.604666996285</v>
      </c>
      <c r="F96" s="185">
        <f>E96/D96-1</f>
        <v>0.16816208550072886</v>
      </c>
      <c r="G96" s="179">
        <f>C96*F$101</f>
        <v>31964.999999999996</v>
      </c>
      <c r="H96" s="185">
        <f>(G96+E96)/(G96+D96)-1</f>
        <v>0.07041867598276697</v>
      </c>
    </row>
    <row r="97" spans="2:9" ht="12">
      <c r="B97" t="s">
        <v>383</v>
      </c>
      <c r="C97">
        <v>8000</v>
      </c>
      <c r="D97" s="9">
        <f>($C97-4000)*E37+(2000*E38)+2000*E39</f>
        <v>114420</v>
      </c>
      <c r="E97" s="9">
        <f>($C97-4000)*F37+(2000*F38)+2000*F39</f>
        <v>133661.10582299338</v>
      </c>
      <c r="F97" s="185">
        <f>E97/D97-1</f>
        <v>0.16816208550072886</v>
      </c>
      <c r="G97" s="179">
        <f>C97*F$101</f>
        <v>170480</v>
      </c>
      <c r="H97" s="185">
        <f>(G97+E97)/(G97+D97)-1</f>
        <v>0.06753634897505578</v>
      </c>
      <c r="I97" s="206"/>
    </row>
    <row r="101" spans="3:6" ht="12">
      <c r="C101" t="s">
        <v>58</v>
      </c>
      <c r="F101" s="173">
        <v>21.31</v>
      </c>
    </row>
  </sheetData>
  <mergeCells count="2">
    <mergeCell ref="B21:C21"/>
    <mergeCell ref="B23:C23"/>
  </mergeCells>
  <printOptions/>
  <pageMargins left="0.8055555555555556" right="0.55" top="0.74" bottom="0.64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workbookViewId="0" topLeftCell="A1">
      <selection activeCell="C3" sqref="C3"/>
    </sheetView>
  </sheetViews>
  <sheetFormatPr defaultColWidth="8.8515625" defaultRowHeight="12.75"/>
  <cols>
    <col min="1" max="1" width="3.8515625" style="0" customWidth="1"/>
    <col min="2" max="2" width="4.00390625" style="0" customWidth="1"/>
    <col min="3" max="3" width="22.7109375" style="0" customWidth="1"/>
    <col min="4" max="4" width="10.28125" style="0" bestFit="1" customWidth="1"/>
    <col min="5" max="5" width="11.421875" style="0" customWidth="1"/>
    <col min="6" max="6" width="11.00390625" style="0" bestFit="1" customWidth="1"/>
    <col min="7" max="8" width="10.421875" style="0" bestFit="1" customWidth="1"/>
    <col min="9" max="9" width="10.140625" style="0" hidden="1" customWidth="1"/>
    <col min="12" max="12" width="10.140625" style="0" bestFit="1" customWidth="1"/>
  </cols>
  <sheetData>
    <row r="1" spans="3:9" ht="12.75">
      <c r="C1" s="1"/>
      <c r="D1" s="1"/>
      <c r="E1" s="1"/>
      <c r="F1" s="1"/>
      <c r="G1" s="1"/>
      <c r="H1" s="1"/>
      <c r="I1" s="1"/>
    </row>
    <row r="2" spans="3:9" ht="12.75">
      <c r="C2" s="65" t="s">
        <v>368</v>
      </c>
      <c r="D2" s="50"/>
      <c r="E2" s="50"/>
      <c r="F2" s="50"/>
      <c r="G2" s="50"/>
      <c r="H2" s="50" t="s">
        <v>537</v>
      </c>
      <c r="I2" s="50"/>
    </row>
    <row r="3" spans="3:9" ht="12.75">
      <c r="C3" s="209" t="s">
        <v>10</v>
      </c>
      <c r="D3" s="1"/>
      <c r="E3" s="1" t="s">
        <v>390</v>
      </c>
      <c r="F3" s="1"/>
      <c r="G3" s="1"/>
      <c r="I3" s="1"/>
    </row>
    <row r="4" spans="3:9" ht="12.75">
      <c r="C4" s="1"/>
      <c r="D4" s="1"/>
      <c r="E4" s="1" t="s">
        <v>485</v>
      </c>
      <c r="F4" s="1"/>
      <c r="G4" s="1"/>
      <c r="H4" s="1"/>
      <c r="I4" s="1"/>
    </row>
    <row r="5" spans="2:9" ht="12.75">
      <c r="B5" s="183"/>
      <c r="C5" s="1"/>
      <c r="D5" s="1"/>
      <c r="E5" s="1"/>
      <c r="F5" s="1"/>
      <c r="G5" s="1"/>
      <c r="H5" s="1"/>
      <c r="I5" s="1"/>
    </row>
    <row r="6" spans="4:9" ht="12.75">
      <c r="D6" s="1"/>
      <c r="E6" s="1"/>
      <c r="F6" s="1"/>
      <c r="G6" s="1" t="s">
        <v>391</v>
      </c>
      <c r="H6" s="1" t="s">
        <v>100</v>
      </c>
      <c r="I6" s="1" t="s">
        <v>16</v>
      </c>
    </row>
    <row r="7" spans="3:9" ht="12.75">
      <c r="C7" s="47">
        <f>D12+D13+D15</f>
        <v>4485904.57</v>
      </c>
      <c r="D7" s="56" t="s">
        <v>101</v>
      </c>
      <c r="E7" s="1"/>
      <c r="F7" s="1" t="s">
        <v>33</v>
      </c>
      <c r="G7" s="1" t="s">
        <v>110</v>
      </c>
      <c r="H7" s="1" t="s">
        <v>110</v>
      </c>
      <c r="I7" s="1" t="s">
        <v>110</v>
      </c>
    </row>
    <row r="8" spans="4:9" ht="12.75">
      <c r="D8" s="56" t="s">
        <v>111</v>
      </c>
      <c r="E8" s="1" t="s">
        <v>112</v>
      </c>
      <c r="F8" s="1" t="s">
        <v>113</v>
      </c>
      <c r="G8" s="1" t="s">
        <v>556</v>
      </c>
      <c r="H8" s="1" t="s">
        <v>556</v>
      </c>
      <c r="I8" s="1" t="s">
        <v>556</v>
      </c>
    </row>
    <row r="9" spans="4:9" ht="12.75">
      <c r="D9" s="57" t="s">
        <v>176</v>
      </c>
      <c r="E9" s="1" t="s">
        <v>557</v>
      </c>
      <c r="F9" s="2">
        <v>39813</v>
      </c>
      <c r="G9" s="2">
        <v>39447</v>
      </c>
      <c r="H9" s="2">
        <v>39082</v>
      </c>
      <c r="I9" s="2">
        <v>36160</v>
      </c>
    </row>
    <row r="10" spans="1:4" ht="12.75">
      <c r="A10" s="72" t="s">
        <v>558</v>
      </c>
      <c r="D10" s="30"/>
    </row>
    <row r="11" ht="12.75">
      <c r="D11" s="30"/>
    </row>
    <row r="12" spans="2:9" ht="12.75">
      <c r="B12" s="72" t="s">
        <v>67</v>
      </c>
      <c r="D12" s="55">
        <f>'MONTHLY SALES'!M25</f>
        <v>2053949.11</v>
      </c>
      <c r="E12" s="3">
        <f>'Sched 1a1'!I23</f>
        <v>-20555.735890687618</v>
      </c>
      <c r="F12" s="3">
        <f>E12+D12</f>
        <v>2033393.3741093124</v>
      </c>
      <c r="G12" s="3">
        <f>769820+1222159+814-28792</f>
        <v>1964001</v>
      </c>
      <c r="H12" s="3">
        <v>1718164</v>
      </c>
      <c r="I12" s="3">
        <v>2647025</v>
      </c>
    </row>
    <row r="13" spans="2:9" ht="12.75">
      <c r="B13" s="72" t="s">
        <v>68</v>
      </c>
      <c r="D13" s="55">
        <f>'MONTHLY SALES'!K25</f>
        <v>2281128.46</v>
      </c>
      <c r="E13" s="55">
        <f>-'Sched 1a1'!I32</f>
        <v>240987.01999999996</v>
      </c>
      <c r="F13" s="3">
        <f>E13+D13</f>
        <v>2522115.48</v>
      </c>
      <c r="G13" s="3">
        <f>1033896+1721579+1549</f>
        <v>2757024</v>
      </c>
      <c r="H13" s="3">
        <v>2159150</v>
      </c>
      <c r="I13" s="3"/>
    </row>
    <row r="14" spans="2:9" ht="12.75">
      <c r="B14" s="72" t="s">
        <v>69</v>
      </c>
      <c r="D14" s="55">
        <v>31900</v>
      </c>
      <c r="E14" s="3"/>
      <c r="F14" s="3">
        <f>E14+D14</f>
        <v>31900</v>
      </c>
      <c r="G14" s="3">
        <v>33900</v>
      </c>
      <c r="H14" s="3">
        <v>33725</v>
      </c>
      <c r="I14" s="3">
        <v>21035</v>
      </c>
    </row>
    <row r="15" spans="2:9" ht="12.75">
      <c r="B15" s="72" t="s">
        <v>355</v>
      </c>
      <c r="D15" s="20">
        <v>150827</v>
      </c>
      <c r="F15" s="3">
        <f>E15+D15</f>
        <v>150827</v>
      </c>
      <c r="G15" s="20">
        <v>167463</v>
      </c>
      <c r="H15" s="20">
        <v>165151</v>
      </c>
      <c r="I15" s="3">
        <f>80.54+4655.66+16953.2+10911.2+6187.34+9000+9167.26+1754.14+6326.43-1</f>
        <v>65034.770000000004</v>
      </c>
    </row>
    <row r="16" spans="2:9" ht="12.75">
      <c r="B16" s="72" t="s">
        <v>70</v>
      </c>
      <c r="D16" s="55">
        <f>299537-31900</f>
        <v>267637</v>
      </c>
      <c r="E16" s="3">
        <f>-17970-114864</f>
        <v>-132834</v>
      </c>
      <c r="F16" s="3">
        <f>E16+D16</f>
        <v>134803</v>
      </c>
      <c r="G16" s="3">
        <f>294342</f>
        <v>294342</v>
      </c>
      <c r="H16" s="3">
        <v>179528</v>
      </c>
      <c r="I16" s="3"/>
    </row>
    <row r="17" spans="4:9" ht="12.75">
      <c r="D17" s="55"/>
      <c r="E17" s="3"/>
      <c r="F17" s="3"/>
      <c r="G17" s="3"/>
      <c r="H17" s="3"/>
      <c r="I17" s="3"/>
    </row>
    <row r="18" spans="3:9" ht="12.75">
      <c r="C18" t="s">
        <v>71</v>
      </c>
      <c r="D18" s="3">
        <f>SUM(D12:D16)</f>
        <v>4785441.57</v>
      </c>
      <c r="E18" s="3">
        <f>SUM(E12:E16)</f>
        <v>87597.28410931234</v>
      </c>
      <c r="F18" s="3">
        <f>E18+D18</f>
        <v>4873038.854109312</v>
      </c>
      <c r="G18" s="3">
        <f>SUM(G12:G16)</f>
        <v>5216730</v>
      </c>
      <c r="H18" s="3">
        <f>SUM(H12:H16)</f>
        <v>4255718</v>
      </c>
      <c r="I18" s="3">
        <f>SUM(I12:I15)</f>
        <v>2733094.77</v>
      </c>
    </row>
    <row r="19" spans="4:9" ht="12.75">
      <c r="D19" s="3"/>
      <c r="E19" s="3"/>
      <c r="F19" s="3"/>
      <c r="G19" s="3"/>
      <c r="H19" s="3"/>
      <c r="I19" s="3"/>
    </row>
    <row r="20" spans="1:9" ht="12.75">
      <c r="A20" s="72" t="s">
        <v>281</v>
      </c>
      <c r="D20" s="3"/>
      <c r="E20" s="3"/>
      <c r="F20" s="3"/>
      <c r="G20" s="3"/>
      <c r="H20" s="3"/>
      <c r="I20" s="3"/>
    </row>
    <row r="21" spans="2:9" ht="12.75">
      <c r="B21" s="72" t="s">
        <v>282</v>
      </c>
      <c r="D21" s="3"/>
      <c r="E21" s="3"/>
      <c r="F21" s="3"/>
      <c r="G21" s="3"/>
      <c r="H21" s="3"/>
      <c r="I21" s="3"/>
    </row>
    <row r="22" spans="3:12" ht="12.75">
      <c r="C22" t="s">
        <v>164</v>
      </c>
      <c r="D22" s="3">
        <v>2220872</v>
      </c>
      <c r="E22" s="3"/>
      <c r="F22" s="3">
        <f>E22+D22</f>
        <v>2220872</v>
      </c>
      <c r="G22" s="3">
        <v>2144975</v>
      </c>
      <c r="H22" s="3">
        <v>2073927</v>
      </c>
      <c r="I22" s="3">
        <v>1280935</v>
      </c>
      <c r="K22" s="47"/>
      <c r="L22" s="47"/>
    </row>
    <row r="23" spans="3:9" ht="12.75">
      <c r="C23" t="s">
        <v>65</v>
      </c>
      <c r="D23" s="3">
        <v>1412090</v>
      </c>
      <c r="E23" s="3">
        <f>'Sched 1a2'!H24</f>
        <v>7486.648281468035</v>
      </c>
      <c r="F23" s="3">
        <f>E23+D23</f>
        <v>1419576.648281468</v>
      </c>
      <c r="G23" s="3">
        <v>1084870</v>
      </c>
      <c r="H23" s="3">
        <f>255233+231287+108066+540331+23407-180-1014-1132</f>
        <v>1155998</v>
      </c>
      <c r="I23" s="3">
        <f>262023+243029+78345</f>
        <v>583397</v>
      </c>
    </row>
    <row r="24" spans="4:9" ht="12.75">
      <c r="D24" s="3"/>
      <c r="E24" s="3"/>
      <c r="F24" s="3"/>
      <c r="G24" s="3"/>
      <c r="H24" s="3"/>
      <c r="I24" s="3"/>
    </row>
    <row r="25" spans="2:9" ht="12.75">
      <c r="B25" s="72" t="s">
        <v>562</v>
      </c>
      <c r="D25" s="3">
        <f>'Sched 1-B'!F15+53728</f>
        <v>215660</v>
      </c>
      <c r="E25" s="3">
        <f>'Sched 1-B'!H15</f>
        <v>0</v>
      </c>
      <c r="F25" s="3">
        <f>E25+D25</f>
        <v>215660</v>
      </c>
      <c r="G25" s="3">
        <v>196618</v>
      </c>
      <c r="H25" s="3">
        <v>244526</v>
      </c>
      <c r="I25" s="3">
        <v>70710</v>
      </c>
    </row>
    <row r="26" spans="2:9" ht="12.75">
      <c r="B26" s="72" t="s">
        <v>561</v>
      </c>
      <c r="D26" s="3">
        <f>'Sched 1-B'!F16</f>
        <v>53977</v>
      </c>
      <c r="E26" s="3">
        <f>'Sched 1-B'!H16</f>
        <v>0</v>
      </c>
      <c r="F26" s="3">
        <f>E26+D26</f>
        <v>53977</v>
      </c>
      <c r="G26" s="3">
        <v>50993</v>
      </c>
      <c r="H26" s="3">
        <v>49121</v>
      </c>
      <c r="I26" s="3">
        <v>35906</v>
      </c>
    </row>
    <row r="27" spans="2:9" ht="12.75">
      <c r="B27" s="72" t="s">
        <v>287</v>
      </c>
      <c r="D27" s="3">
        <v>4933</v>
      </c>
      <c r="E27" s="3"/>
      <c r="F27" s="3">
        <f>E27+D27</f>
        <v>4933</v>
      </c>
      <c r="G27" s="3">
        <v>4965</v>
      </c>
      <c r="H27" s="3">
        <v>6209</v>
      </c>
      <c r="I27" s="3">
        <v>1093</v>
      </c>
    </row>
    <row r="28" spans="2:9" ht="12.75">
      <c r="B28" s="72" t="s">
        <v>57</v>
      </c>
      <c r="D28" s="3">
        <v>624991</v>
      </c>
      <c r="E28" s="3">
        <f>'Sched 1a3'!H25</f>
        <v>-58804.15</v>
      </c>
      <c r="F28" s="3">
        <f>E28+D28</f>
        <v>566186.85</v>
      </c>
      <c r="G28" s="3">
        <v>663843</v>
      </c>
      <c r="H28" s="3">
        <v>553312</v>
      </c>
      <c r="I28" s="3">
        <v>293764</v>
      </c>
    </row>
    <row r="29" spans="2:9" ht="12.75">
      <c r="B29" s="72" t="s">
        <v>61</v>
      </c>
      <c r="D29" s="3">
        <v>722</v>
      </c>
      <c r="E29" s="3">
        <v>0</v>
      </c>
      <c r="F29" s="3">
        <f>E29+D29</f>
        <v>722</v>
      </c>
      <c r="G29" s="3">
        <v>33311</v>
      </c>
      <c r="H29" s="3">
        <v>75000</v>
      </c>
      <c r="I29" s="3"/>
    </row>
    <row r="30" spans="2:9" ht="12.75">
      <c r="B30" s="72" t="s">
        <v>288</v>
      </c>
      <c r="D30" s="3"/>
      <c r="E30" s="49"/>
      <c r="F30" s="3"/>
      <c r="G30" s="3"/>
      <c r="H30" s="3"/>
      <c r="I30" s="3"/>
    </row>
    <row r="31" spans="3:9" ht="12.75">
      <c r="C31" t="s">
        <v>466</v>
      </c>
      <c r="D31" s="3">
        <f>'INCOME TAXES'!K17</f>
        <v>-194752</v>
      </c>
      <c r="E31" s="89">
        <v>200000</v>
      </c>
      <c r="F31" s="3">
        <f>E31+D31</f>
        <v>5248</v>
      </c>
      <c r="G31" s="3">
        <f>118666+2031</f>
        <v>120697</v>
      </c>
      <c r="H31" s="3">
        <v>-125035</v>
      </c>
      <c r="I31" s="3">
        <f>32915+10750</f>
        <v>43665</v>
      </c>
    </row>
    <row r="32" spans="3:9" ht="12.75">
      <c r="C32" t="s">
        <v>491</v>
      </c>
      <c r="D32" s="3">
        <f>'PROPERTY TAXES'!L18</f>
        <v>152508</v>
      </c>
      <c r="E32" s="3">
        <f>'Sched 1a2'!H30</f>
        <v>-15062</v>
      </c>
      <c r="F32" s="3">
        <f>E32+D32</f>
        <v>137446</v>
      </c>
      <c r="G32" s="3">
        <v>118040</v>
      </c>
      <c r="H32" s="3">
        <v>92781</v>
      </c>
      <c r="I32" s="3">
        <v>142570</v>
      </c>
    </row>
    <row r="33" spans="2:9" ht="12.75">
      <c r="B33" s="72" t="s">
        <v>378</v>
      </c>
      <c r="D33" s="3">
        <v>245336</v>
      </c>
      <c r="E33" s="3"/>
      <c r="F33" s="3">
        <f>E33+D33</f>
        <v>245336</v>
      </c>
      <c r="G33" s="3">
        <v>241619</v>
      </c>
      <c r="H33" s="3">
        <v>216400</v>
      </c>
      <c r="I33" s="3">
        <v>136153</v>
      </c>
    </row>
    <row r="34" spans="2:9" ht="12.75">
      <c r="B34" s="72" t="s">
        <v>316</v>
      </c>
      <c r="D34" s="3">
        <v>-3018</v>
      </c>
      <c r="E34" s="3"/>
      <c r="F34" s="3">
        <f>E34+D34</f>
        <v>-3018</v>
      </c>
      <c r="G34" s="3">
        <v>-3018</v>
      </c>
      <c r="H34" s="3">
        <f>G34+520</f>
        <v>-2498</v>
      </c>
      <c r="I34" s="3"/>
    </row>
    <row r="35" spans="3:9" ht="12.75">
      <c r="C35" s="47"/>
      <c r="D35" s="3"/>
      <c r="E35" s="3"/>
      <c r="F35" s="3"/>
      <c r="G35" s="3"/>
      <c r="H35" s="3"/>
      <c r="I35" s="3"/>
    </row>
    <row r="36" spans="2:9" ht="12.75">
      <c r="B36" s="72" t="s">
        <v>501</v>
      </c>
      <c r="D36" s="3">
        <f aca="true" t="shared" si="0" ref="D36:I36">SUM(D22:D35)</f>
        <v>4733319</v>
      </c>
      <c r="E36" s="3">
        <f t="shared" si="0"/>
        <v>133620.49828146803</v>
      </c>
      <c r="F36" s="3">
        <f t="shared" si="0"/>
        <v>4866939.498281468</v>
      </c>
      <c r="G36" s="3">
        <f t="shared" si="0"/>
        <v>4656913</v>
      </c>
      <c r="H36" s="3">
        <f t="shared" si="0"/>
        <v>4339741</v>
      </c>
      <c r="I36" s="3">
        <f t="shared" si="0"/>
        <v>2588193</v>
      </c>
    </row>
    <row r="37" spans="4:9" ht="12.75">
      <c r="D37" s="3"/>
      <c r="E37" s="3"/>
      <c r="F37" s="3"/>
      <c r="G37" s="3"/>
      <c r="H37" s="3"/>
      <c r="I37" s="3"/>
    </row>
    <row r="38" spans="1:9" ht="12.75">
      <c r="A38" s="72" t="s">
        <v>502</v>
      </c>
      <c r="D38" s="3">
        <v>225555</v>
      </c>
      <c r="E38" s="3"/>
      <c r="F38" s="3">
        <f>E38+D38</f>
        <v>225555</v>
      </c>
      <c r="G38" s="3">
        <v>225699</v>
      </c>
      <c r="H38" s="3">
        <v>83763</v>
      </c>
      <c r="I38" s="3">
        <v>83763</v>
      </c>
    </row>
    <row r="39" spans="4:9" ht="12.75">
      <c r="D39" s="3"/>
      <c r="E39" s="3"/>
      <c r="F39" s="3"/>
      <c r="G39" s="3"/>
      <c r="H39" s="3"/>
      <c r="I39" s="3"/>
    </row>
    <row r="40" spans="1:9" ht="12.75">
      <c r="A40" s="72" t="s">
        <v>503</v>
      </c>
      <c r="D40" s="3">
        <f aca="true" t="shared" si="1" ref="D40:I40">D18-D36-D38</f>
        <v>-173432.4299999997</v>
      </c>
      <c r="E40" s="3">
        <f t="shared" si="1"/>
        <v>-46023.21417215568</v>
      </c>
      <c r="F40" s="3">
        <f t="shared" si="1"/>
        <v>-219455.6441721553</v>
      </c>
      <c r="G40" s="3">
        <f t="shared" si="1"/>
        <v>334118</v>
      </c>
      <c r="H40" s="3">
        <f t="shared" si="1"/>
        <v>-167786</v>
      </c>
      <c r="I40" s="3">
        <f t="shared" si="1"/>
        <v>61138.77000000002</v>
      </c>
    </row>
    <row r="41" spans="4:9" ht="12.75">
      <c r="D41" s="3"/>
      <c r="E41" s="3"/>
      <c r="F41" s="3"/>
      <c r="G41" s="3"/>
      <c r="H41" s="3"/>
      <c r="I41" s="3"/>
    </row>
    <row r="42" spans="4:9" ht="12.75">
      <c r="D42" s="3"/>
      <c r="E42" s="3"/>
      <c r="F42" s="3"/>
      <c r="G42" s="170"/>
      <c r="H42" s="3"/>
      <c r="I42" s="3"/>
    </row>
    <row r="43" spans="2:9" ht="12.75">
      <c r="B43" s="72" t="s">
        <v>56</v>
      </c>
      <c r="D43" s="144">
        <v>45026</v>
      </c>
      <c r="E43" s="49">
        <f>'Sched 1a2'!H28</f>
        <v>10000</v>
      </c>
      <c r="F43" s="3">
        <f>E43+D43</f>
        <v>55026</v>
      </c>
      <c r="G43" s="3">
        <v>93873</v>
      </c>
      <c r="H43" s="3">
        <v>46810</v>
      </c>
      <c r="I43" s="3"/>
    </row>
    <row r="44" spans="2:9" ht="12.75">
      <c r="B44" s="72" t="s">
        <v>55</v>
      </c>
      <c r="D44" s="144">
        <v>21105</v>
      </c>
      <c r="E44" s="49"/>
      <c r="F44" s="179">
        <f>E44+D44</f>
        <v>21105</v>
      </c>
      <c r="G44" s="179"/>
      <c r="H44" s="179"/>
      <c r="I44" s="179"/>
    </row>
    <row r="45" spans="2:9" ht="12.75">
      <c r="B45" s="72" t="s">
        <v>62</v>
      </c>
      <c r="D45" s="3">
        <v>425</v>
      </c>
      <c r="E45" s="3">
        <v>0</v>
      </c>
      <c r="F45" s="3">
        <f>E45+D45</f>
        <v>425</v>
      </c>
      <c r="G45" s="3">
        <v>6225</v>
      </c>
      <c r="H45" s="3">
        <v>15478</v>
      </c>
      <c r="I45" s="3"/>
    </row>
    <row r="46" spans="2:9" ht="12.75">
      <c r="B46" s="72" t="s">
        <v>379</v>
      </c>
      <c r="D46" s="3">
        <v>702</v>
      </c>
      <c r="E46" s="3"/>
      <c r="F46" s="3">
        <f>E46+D46</f>
        <v>702</v>
      </c>
      <c r="G46" s="3">
        <v>937</v>
      </c>
      <c r="H46" s="3">
        <v>937</v>
      </c>
      <c r="I46" s="3">
        <v>606</v>
      </c>
    </row>
    <row r="47" spans="3:8" ht="12.75">
      <c r="C47" s="47"/>
      <c r="D47" s="47"/>
      <c r="F47" s="47"/>
      <c r="H47" s="47"/>
    </row>
    <row r="48" spans="1:8" ht="12.75">
      <c r="A48" s="72" t="s">
        <v>408</v>
      </c>
      <c r="D48" s="47">
        <f>D40-D43-D45-D46</f>
        <v>-219585.4299999997</v>
      </c>
      <c r="E48" s="3"/>
      <c r="F48" s="47">
        <f>F40-F43-F45-F46</f>
        <v>-275608.6441721553</v>
      </c>
      <c r="G48" s="47">
        <f>G40-G43-G45-G46</f>
        <v>233083</v>
      </c>
      <c r="H48" s="47">
        <f>H40-H43-H45-H46</f>
        <v>-231011</v>
      </c>
    </row>
    <row r="50" spans="6:7" ht="12.75">
      <c r="F50" s="179"/>
      <c r="G50" s="47"/>
    </row>
    <row r="51" ht="12.75">
      <c r="D51" s="184"/>
    </row>
    <row r="52" ht="12.75">
      <c r="F52" s="47"/>
    </row>
  </sheetData>
  <printOptions/>
  <pageMargins left="1.05" right="0.3" top="1" bottom="1" header="0.5" footer="0.5"/>
  <pageSetup fitToHeight="1" fitToWidth="1" horizontalDpi="300" verticalDpi="300" orientation="portrait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3:K39"/>
  <sheetViews>
    <sheetView workbookViewId="0" topLeftCell="A1">
      <selection activeCell="I13" sqref="I13"/>
    </sheetView>
  </sheetViews>
  <sheetFormatPr defaultColWidth="11.57421875" defaultRowHeight="12.75"/>
  <cols>
    <col min="1" max="1" width="4.140625" style="0" customWidth="1"/>
    <col min="2" max="2" width="5.421875" style="0" customWidth="1"/>
    <col min="3" max="3" width="6.140625" style="0" customWidth="1"/>
    <col min="4" max="4" width="4.8515625" style="0" customWidth="1"/>
    <col min="5" max="5" width="9.421875" style="0" customWidth="1"/>
    <col min="6" max="6" width="9.7109375" style="0" customWidth="1"/>
    <col min="7" max="7" width="8.7109375" style="0" customWidth="1"/>
    <col min="8" max="8" width="6.8515625" style="0" customWidth="1"/>
    <col min="9" max="9" width="12.140625" style="0" bestFit="1" customWidth="1"/>
    <col min="10" max="10" width="6.421875" style="0" customWidth="1"/>
    <col min="11" max="11" width="7.8515625" style="0" customWidth="1"/>
  </cols>
  <sheetData>
    <row r="3" spans="3:9" ht="12.75">
      <c r="C3" s="65" t="s">
        <v>368</v>
      </c>
      <c r="I3" t="s">
        <v>537</v>
      </c>
    </row>
    <row r="4" spans="3:9" ht="12">
      <c r="C4" s="209" t="s">
        <v>10</v>
      </c>
      <c r="I4" t="s">
        <v>418</v>
      </c>
    </row>
    <row r="5" ht="12">
      <c r="F5" s="1" t="s">
        <v>125</v>
      </c>
    </row>
    <row r="6" ht="12">
      <c r="F6" s="180" t="s">
        <v>127</v>
      </c>
    </row>
    <row r="8" ht="12">
      <c r="I8" s="1" t="s">
        <v>67</v>
      </c>
    </row>
    <row r="9" spans="7:9" ht="12">
      <c r="G9" t="s">
        <v>293</v>
      </c>
      <c r="I9" s="1" t="s">
        <v>486</v>
      </c>
    </row>
    <row r="10" spans="3:7" ht="12">
      <c r="C10" t="s">
        <v>327</v>
      </c>
      <c r="G10" t="s">
        <v>460</v>
      </c>
    </row>
    <row r="12" spans="3:9" ht="12">
      <c r="C12" t="s">
        <v>456</v>
      </c>
      <c r="G12" s="34">
        <f>'Sales adj'!F21</f>
        <v>6900</v>
      </c>
      <c r="I12" s="7">
        <f>G12*F37</f>
        <v>98325</v>
      </c>
    </row>
    <row r="13" spans="7:9" ht="12">
      <c r="G13" s="34"/>
      <c r="I13" t="s">
        <v>145</v>
      </c>
    </row>
    <row r="14" ht="12">
      <c r="G14" s="34"/>
    </row>
    <row r="15" ht="12">
      <c r="G15" s="34"/>
    </row>
    <row r="16" spans="3:11" ht="12">
      <c r="C16" t="s">
        <v>48</v>
      </c>
      <c r="G16" s="34">
        <f>'Sched 1-C'!J32</f>
        <v>-553.0340975921135</v>
      </c>
      <c r="I16" s="7">
        <f>G16*F37</f>
        <v>-7880.735890687618</v>
      </c>
      <c r="J16" t="s">
        <v>34</v>
      </c>
      <c r="K16" s="86"/>
    </row>
    <row r="17" spans="3:7" ht="12">
      <c r="C17" t="s">
        <v>353</v>
      </c>
      <c r="G17" s="34"/>
    </row>
    <row r="18" ht="12">
      <c r="G18" s="34"/>
    </row>
    <row r="19" spans="3:7" ht="12">
      <c r="C19" t="s">
        <v>19</v>
      </c>
      <c r="G19" s="34">
        <f>G12+G16</f>
        <v>6346.9659024078865</v>
      </c>
    </row>
    <row r="21" spans="3:9" ht="12">
      <c r="C21" t="s">
        <v>49</v>
      </c>
      <c r="I21" s="7">
        <f>12000*(5-F37)</f>
        <v>-111000</v>
      </c>
    </row>
    <row r="23" spans="3:9" ht="12">
      <c r="C23" t="s">
        <v>233</v>
      </c>
      <c r="I23" s="9">
        <f>I12+I16+I21</f>
        <v>-20555.735890687618</v>
      </c>
    </row>
    <row r="27" ht="12">
      <c r="I27" s="7"/>
    </row>
    <row r="28" ht="12">
      <c r="I28" s="7"/>
    </row>
    <row r="30" ht="12">
      <c r="I30" s="7"/>
    </row>
    <row r="32" spans="3:11" ht="12">
      <c r="C32" t="s">
        <v>234</v>
      </c>
      <c r="I32" s="61">
        <f>'Sched 1a5'!K26</f>
        <v>-240987.01999999996</v>
      </c>
      <c r="J32" t="s">
        <v>35</v>
      </c>
      <c r="K32" s="20"/>
    </row>
    <row r="36" ht="12">
      <c r="B36" s="1" t="s">
        <v>431</v>
      </c>
    </row>
    <row r="37" spans="2:7" ht="12">
      <c r="B37" s="31" t="s">
        <v>432</v>
      </c>
      <c r="C37" t="s">
        <v>292</v>
      </c>
      <c r="F37" s="35">
        <v>14.25</v>
      </c>
      <c r="G37" s="35"/>
    </row>
    <row r="39" spans="2:3" ht="12">
      <c r="B39" s="31" t="s">
        <v>239</v>
      </c>
      <c r="C39" t="s">
        <v>441</v>
      </c>
    </row>
  </sheetData>
  <printOptions/>
  <pageMargins left="1.16" right="0.37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C3:I34"/>
  <sheetViews>
    <sheetView workbookViewId="0" topLeftCell="A1">
      <selection activeCell="G13" sqref="G13"/>
    </sheetView>
  </sheetViews>
  <sheetFormatPr defaultColWidth="11.57421875" defaultRowHeight="12.75"/>
  <cols>
    <col min="1" max="1" width="2.421875" style="0" customWidth="1"/>
    <col min="2" max="2" width="1.421875" style="0" customWidth="1"/>
    <col min="3" max="3" width="4.8515625" style="0" customWidth="1"/>
    <col min="6" max="6" width="15.421875" style="0" customWidth="1"/>
    <col min="7" max="7" width="11.7109375" style="0" customWidth="1"/>
  </cols>
  <sheetData>
    <row r="3" spans="4:8" ht="12.75">
      <c r="D3" s="65" t="s">
        <v>368</v>
      </c>
      <c r="H3" t="s">
        <v>537</v>
      </c>
    </row>
    <row r="4" spans="4:8" ht="12">
      <c r="D4" s="209" t="s">
        <v>10</v>
      </c>
      <c r="H4" t="s">
        <v>393</v>
      </c>
    </row>
    <row r="5" ht="12">
      <c r="H5" s="7"/>
    </row>
    <row r="6" ht="12">
      <c r="H6" s="7"/>
    </row>
    <row r="7" spans="5:8" ht="12">
      <c r="E7" t="s">
        <v>364</v>
      </c>
      <c r="H7" s="7"/>
    </row>
    <row r="8" spans="5:8" ht="12">
      <c r="E8" t="s">
        <v>543</v>
      </c>
      <c r="H8" s="7"/>
    </row>
    <row r="9" ht="12">
      <c r="H9" s="45" t="s">
        <v>47</v>
      </c>
    </row>
    <row r="10" spans="3:8" ht="12">
      <c r="C10" t="s">
        <v>475</v>
      </c>
      <c r="H10" s="7"/>
    </row>
    <row r="11" ht="12">
      <c r="H11" s="7"/>
    </row>
    <row r="12" spans="4:8" ht="12">
      <c r="D12" t="s">
        <v>294</v>
      </c>
      <c r="H12" s="7">
        <f>G13*G14</f>
        <v>7390.648281468035</v>
      </c>
    </row>
    <row r="13" spans="5:8" ht="12">
      <c r="E13" t="s">
        <v>301</v>
      </c>
      <c r="G13" s="32">
        <f>'Sched 1a4'!H25</f>
        <v>1.164438</v>
      </c>
      <c r="H13" s="7"/>
    </row>
    <row r="14" spans="5:8" ht="12">
      <c r="E14" t="s">
        <v>123</v>
      </c>
      <c r="G14" s="3">
        <f>'Sched 1-C'!J34</f>
        <v>6346.9659024078865</v>
      </c>
      <c r="H14" s="7"/>
    </row>
    <row r="15" spans="7:8" ht="12">
      <c r="G15" s="3"/>
      <c r="H15" s="7"/>
    </row>
    <row r="16" ht="12">
      <c r="H16" s="7"/>
    </row>
    <row r="17" spans="7:8" ht="12">
      <c r="G17" s="3"/>
      <c r="H17" s="7"/>
    </row>
    <row r="18" spans="4:9" ht="12">
      <c r="D18" t="s">
        <v>91</v>
      </c>
      <c r="H18" s="7">
        <v>27096</v>
      </c>
      <c r="I18" s="9"/>
    </row>
    <row r="19" spans="4:8" ht="12">
      <c r="D19" t="s">
        <v>563</v>
      </c>
      <c r="H19" s="7">
        <f>'Sched 1-B'!H26+'Sched 1-B'!H13</f>
        <v>-50000</v>
      </c>
    </row>
    <row r="20" ht="12">
      <c r="H20" s="7"/>
    </row>
    <row r="21" spans="4:8" ht="12">
      <c r="D21" t="s">
        <v>317</v>
      </c>
      <c r="H21" s="7">
        <v>43000</v>
      </c>
    </row>
    <row r="22" spans="4:8" ht="12">
      <c r="D22" t="s">
        <v>542</v>
      </c>
      <c r="H22" s="7">
        <v>-20000</v>
      </c>
    </row>
    <row r="23" ht="12">
      <c r="H23" s="7"/>
    </row>
    <row r="24" spans="3:8" ht="12.75">
      <c r="C24" s="22" t="s">
        <v>377</v>
      </c>
      <c r="H24" s="33">
        <f>SUM(H11:H23)</f>
        <v>7486.648281468035</v>
      </c>
    </row>
    <row r="25" ht="12">
      <c r="H25" s="7"/>
    </row>
    <row r="26" ht="12">
      <c r="H26" s="7"/>
    </row>
    <row r="28" spans="4:8" ht="12">
      <c r="D28" t="s">
        <v>64</v>
      </c>
      <c r="H28" s="7">
        <v>10000</v>
      </c>
    </row>
    <row r="30" spans="4:8" ht="12">
      <c r="D30" t="s">
        <v>63</v>
      </c>
      <c r="H30" s="7">
        <v>-15062</v>
      </c>
    </row>
    <row r="32" ht="12">
      <c r="H32" s="7"/>
    </row>
    <row r="34" ht="12">
      <c r="H34" s="7"/>
    </row>
  </sheetData>
  <printOptions/>
  <pageMargins left="1.1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Nathan Weschler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 Dunlea</dc:creator>
  <cp:keywords/>
  <dc:description/>
  <cp:lastModifiedBy>Peter Bloomfield</cp:lastModifiedBy>
  <cp:lastPrinted>2009-09-01T17:17:54Z</cp:lastPrinted>
  <dcterms:created xsi:type="dcterms:W3CDTF">2002-03-25T16:37:44Z</dcterms:created>
  <dcterms:modified xsi:type="dcterms:W3CDTF">2009-09-01T19:18:48Z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30</vt:i4>
  </property>
  <property fmtid="{D5CDD505-2E9C-101B-9397-08002B2CF9AE}" pid="3" name="Refresh">
    <vt:bool>true</vt:bool>
  </property>
  <property fmtid="{D5CDD505-2E9C-101B-9397-08002B2CF9AE}" pid="4" name="Refresh97">
    <vt:bool>false</vt:bool>
  </property>
  <property fmtid="{D5CDD505-2E9C-101B-9397-08002B2CF9AE}" pid="5" name="_AdHocReviewCycleID">
    <vt:i4>279144144</vt:i4>
  </property>
  <property fmtid="{D5CDD505-2E9C-101B-9397-08002B2CF9AE}" pid="6" name="_EmailSubject">
    <vt:lpwstr>Here is excel file for 2007 rate case</vt:lpwstr>
  </property>
  <property fmtid="{D5CDD505-2E9C-101B-9397-08002B2CF9AE}" pid="7" name="_AuthorEmail">
    <vt:lpwstr>pdunlea@nathanwechsler.com</vt:lpwstr>
  </property>
  <property fmtid="{D5CDD505-2E9C-101B-9397-08002B2CF9AE}" pid="8" name="_AuthorEmailDisplayName">
    <vt:lpwstr>Pat Dunlea</vt:lpwstr>
  </property>
  <property fmtid="{D5CDD505-2E9C-101B-9397-08002B2CF9AE}" pid="9" name="_PreviousAdHocReviewCycleID">
    <vt:i4>253513098</vt:i4>
  </property>
</Properties>
</file>